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15" windowWidth="21135" windowHeight="9990" tabRatio="645" activeTab="1"/>
  </bookViews>
  <sheets>
    <sheet name="Input" sheetId="1" r:id="rId1"/>
    <sheet name="calculation" sheetId="2" r:id="rId2"/>
    <sheet name="Energy Accounting" sheetId="3" r:id="rId3"/>
    <sheet name="Master" sheetId="4" r:id="rId4"/>
    <sheet name="Petrol Reduction" sheetId="5" r:id="rId5"/>
    <sheet name="Energy Cost" sheetId="6" r:id="rId6"/>
    <sheet name="MZ cost info" sheetId="7" r:id="rId7"/>
    <sheet name="Airplane Fuel" sheetId="8" r:id="rId8"/>
  </sheets>
  <externalReferences>
    <externalReference r:id="rId11"/>
  </externalReferences>
  <definedNames>
    <definedName name="_A">'[1]Results'!$O$3</definedName>
    <definedName name="CTFEBS">'[1]Results'!$T$72</definedName>
    <definedName name="FINAL">'[1]Results'!$T$71</definedName>
    <definedName name="PRINT">'[1]Results'!$T$74</definedName>
    <definedName name="SAVED">'[1]Results'!$T$70</definedName>
    <definedName name="SAVII">'[1]Results'!$U$70</definedName>
    <definedName name="SHEET2">#REF!</definedName>
    <definedName name="SHEET3">#REF!</definedName>
    <definedName name="SHEET4">#REF!</definedName>
    <definedName name="SHEET5">#REF!</definedName>
    <definedName name="SHEET6">#REF!</definedName>
    <definedName name="STATES">'[1]Results'!$S$14:$S$64</definedName>
    <definedName name="YEAR">'[1]Results'!$T$69</definedName>
    <definedName name="YEAR2">'[1]Results'!$U$69</definedName>
  </definedNames>
  <calcPr fullCalcOnLoad="1"/>
</workbook>
</file>

<file path=xl/comments1.xml><?xml version="1.0" encoding="utf-8"?>
<comments xmlns="http://schemas.openxmlformats.org/spreadsheetml/2006/main">
  <authors>
    <author>Bob Lawson</author>
  </authors>
  <commentList>
    <comment ref="A3" authorId="0">
      <text>
        <r>
          <rPr>
            <b/>
            <sz val="8"/>
            <rFont val="Tahoma"/>
            <family val="2"/>
          </rPr>
          <t>Bob Lawson:</t>
        </r>
        <r>
          <rPr>
            <sz val="8"/>
            <rFont val="Tahoma"/>
            <family val="2"/>
          </rPr>
          <t xml:space="preserve">
This model assumes steady growth in CAFE</t>
        </r>
      </text>
    </comment>
    <comment ref="F3" authorId="0">
      <text>
        <r>
          <rPr>
            <b/>
            <sz val="8"/>
            <rFont val="Tahoma"/>
            <family val="2"/>
          </rPr>
          <t>Bob Lawson:</t>
        </r>
        <r>
          <rPr>
            <sz val="8"/>
            <rFont val="Tahoma"/>
            <family val="2"/>
          </rPr>
          <t xml:space="preserve">
HEV mpg is considered as a percentage increase over CAFÉ, since the trend appears to be instituting hybrid powertrains in existing ICE vehicles. Approximately 33% seems a reasonable value based on comparisons of hybrid versus conventional civics, Tahoes, etc.</t>
        </r>
      </text>
    </comment>
    <comment ref="H4" authorId="0">
      <text>
        <r>
          <rPr>
            <b/>
            <sz val="8"/>
            <rFont val="Tahoma"/>
            <family val="2"/>
          </rPr>
          <t>Bob Lawson:</t>
        </r>
        <r>
          <rPr>
            <sz val="8"/>
            <rFont val="Tahoma"/>
            <family val="2"/>
          </rPr>
          <t xml:space="preserve">
It's difficult to ascertain what the equivalent fuel economy will be for this nacent tech</t>
        </r>
      </text>
    </comment>
    <comment ref="B56" authorId="0">
      <text>
        <r>
          <rPr>
            <b/>
            <sz val="8"/>
            <rFont val="Tahoma"/>
            <family val="2"/>
          </rPr>
          <t>Bob Lawson:</t>
        </r>
        <r>
          <rPr>
            <sz val="8"/>
            <rFont val="Tahoma"/>
            <family val="2"/>
          </rPr>
          <t xml:space="preserve">
see http://www.physics.ohio-state.edu/~wilkins/writing/Samples/policy/voytishlong.html</t>
        </r>
      </text>
    </comment>
  </commentList>
</comments>
</file>

<file path=xl/comments2.xml><?xml version="1.0" encoding="utf-8"?>
<comments xmlns="http://schemas.openxmlformats.org/spreadsheetml/2006/main">
  <authors>
    <author>Bob Lawson</author>
    <author>gx270user</author>
  </authors>
  <commentList>
    <comment ref="N2" authorId="0">
      <text>
        <r>
          <rPr>
            <b/>
            <sz val="8"/>
            <rFont val="Tahoma"/>
            <family val="2"/>
          </rPr>
          <t>Bob Lawson:</t>
        </r>
        <r>
          <rPr>
            <sz val="8"/>
            <rFont val="Tahoma"/>
            <family val="2"/>
          </rPr>
          <t xml:space="preserve">
Data from http://www.icbe.com/carbondatabase/CO2volumecalculation.asp</t>
        </r>
      </text>
    </comment>
    <comment ref="J3" authorId="0">
      <text>
        <r>
          <rPr>
            <b/>
            <sz val="8"/>
            <rFont val="Tahoma"/>
            <family val="2"/>
          </rPr>
          <t>Bob Lawson:</t>
        </r>
        <r>
          <rPr>
            <sz val="8"/>
            <rFont val="Tahoma"/>
            <family val="2"/>
          </rPr>
          <t xml:space="preserve">
VISION data has been replaced with better numbers from Jeff Long with the Air Resources Board - jlong@arb.ca.gov Data is from EMFAC</t>
        </r>
      </text>
    </comment>
    <comment ref="K3" authorId="0">
      <text>
        <r>
          <rPr>
            <b/>
            <sz val="8"/>
            <rFont val="Tahoma"/>
            <family val="2"/>
          </rPr>
          <t>Bob Lawson:</t>
        </r>
        <r>
          <rPr>
            <sz val="8"/>
            <rFont val="Tahoma"/>
            <family val="2"/>
          </rPr>
          <t xml:space="preserve">
from VISION</t>
        </r>
      </text>
    </comment>
    <comment ref="N67" authorId="0">
      <text>
        <r>
          <rPr>
            <b/>
            <sz val="8"/>
            <rFont val="Tahoma"/>
            <family val="2"/>
          </rPr>
          <t>Bob Lawson:
This is very rough at the moment but I thought it would be interesting to consider</t>
        </r>
      </text>
    </comment>
    <comment ref="E68" authorId="0">
      <text>
        <r>
          <rPr>
            <b/>
            <sz val="8"/>
            <rFont val="Tahoma"/>
            <family val="2"/>
          </rPr>
          <t>Bob Lawson:</t>
        </r>
        <r>
          <rPr>
            <sz val="8"/>
            <rFont val="Tahoma"/>
            <family val="2"/>
          </rPr>
          <t xml:space="preserve">
.213 kwh/mi is what the Tesla Roadster gets, this can be adjusted</t>
        </r>
      </text>
    </comment>
    <comment ref="N135" authorId="0">
      <text>
        <r>
          <rPr>
            <b/>
            <sz val="8"/>
            <rFont val="Tahoma"/>
            <family val="2"/>
          </rPr>
          <t>Bob Lawson:</t>
        </r>
        <r>
          <rPr>
            <sz val="8"/>
            <rFont val="Tahoma"/>
            <family val="2"/>
          </rPr>
          <t xml:space="preserve">
Data from http://www.icbe.com/carbondatabase/CO2volumecalculation.asp</t>
        </r>
      </text>
    </comment>
    <comment ref="B158" authorId="1">
      <text>
        <r>
          <rPr>
            <b/>
            <sz val="8"/>
            <rFont val="Tahoma"/>
            <family val="2"/>
          </rPr>
          <t>gx270user:</t>
        </r>
        <r>
          <rPr>
            <sz val="8"/>
            <rFont val="Tahoma"/>
            <family val="2"/>
          </rPr>
          <t xml:space="preserve">
VISION assumed no hybrids before '08
</t>
        </r>
      </text>
    </comment>
    <comment ref="N200" authorId="0">
      <text>
        <r>
          <rPr>
            <b/>
            <sz val="8"/>
            <rFont val="Tahoma"/>
            <family val="2"/>
          </rPr>
          <t>Bob Lawson:</t>
        </r>
        <r>
          <rPr>
            <sz val="8"/>
            <rFont val="Tahoma"/>
            <family val="2"/>
          </rPr>
          <t xml:space="preserve">
Data from http://www.icbe.com/carbondatabase/CO2volumecalculation.asp</t>
        </r>
      </text>
    </comment>
    <comment ref="N265" authorId="0">
      <text>
        <r>
          <rPr>
            <b/>
            <sz val="8"/>
            <rFont val="Tahoma"/>
            <family val="2"/>
          </rPr>
          <t>Bob Lawson:</t>
        </r>
        <r>
          <rPr>
            <sz val="8"/>
            <rFont val="Tahoma"/>
            <family val="2"/>
          </rPr>
          <t xml:space="preserve">
Data from http://www.epa.gov/otaq/climate/420f05001.htm</t>
        </r>
      </text>
    </comment>
    <comment ref="B416" authorId="1">
      <text>
        <r>
          <rPr>
            <b/>
            <sz val="8"/>
            <rFont val="Tahoma"/>
            <family val="2"/>
          </rPr>
          <t>gx270user:</t>
        </r>
        <r>
          <rPr>
            <sz val="8"/>
            <rFont val="Tahoma"/>
            <family val="2"/>
          </rPr>
          <t xml:space="preserve">
VISION assumed no hybrids before '08
</t>
        </r>
      </text>
    </comment>
  </commentList>
</comments>
</file>

<file path=xl/comments3.xml><?xml version="1.0" encoding="utf-8"?>
<comments xmlns="http://schemas.openxmlformats.org/spreadsheetml/2006/main">
  <authors>
    <author/>
    <author> Ralph Lewis</author>
    <author>Computing Support Services</author>
  </authors>
  <commentList>
    <comment ref="I35" authorId="0">
      <text>
        <r>
          <rPr>
            <b/>
            <sz val="9"/>
            <color indexed="8"/>
            <rFont val="Arial"/>
            <family val="2"/>
          </rPr>
          <t xml:space="preserve">Computing Support Services:
</t>
        </r>
        <r>
          <rPr>
            <sz val="9"/>
            <color indexed="8"/>
            <rFont val="Arial"/>
            <family val="2"/>
          </rPr>
          <t>From http://www.aceee.org/consumerguide/topwater.htm</t>
        </r>
      </text>
    </comment>
    <comment ref="I36" authorId="0">
      <text>
        <r>
          <rPr>
            <b/>
            <sz val="9"/>
            <color indexed="8"/>
            <rFont val="Arial"/>
            <family val="2"/>
          </rPr>
          <t xml:space="preserve">Computing Support Services:
</t>
        </r>
        <r>
          <rPr>
            <sz val="9"/>
            <color indexed="8"/>
            <rFont val="Arial"/>
            <family val="2"/>
          </rPr>
          <t>http://www.aceee.org/consumerguide/topwater.htm</t>
        </r>
      </text>
    </comment>
    <comment ref="H3" authorId="0">
      <text>
        <r>
          <rPr>
            <b/>
            <sz val="9"/>
            <color indexed="8"/>
            <rFont val="Arial"/>
            <family val="2"/>
          </rPr>
          <t xml:space="preserve">Computing Support Services:
</t>
        </r>
        <r>
          <rPr>
            <sz val="9"/>
            <color indexed="8"/>
            <rFont val="Arial"/>
            <family val="2"/>
          </rPr>
          <t>Effeciency values assume that all electricity and natural gas is used in building sector and both energy sources receive the same reduction factor with increased efficiency</t>
        </r>
      </text>
    </comment>
    <comment ref="H4" authorId="0">
      <text>
        <r>
          <rPr>
            <b/>
            <sz val="9"/>
            <color indexed="8"/>
            <rFont val="Arial"/>
            <family val="2"/>
          </rPr>
          <t xml:space="preserve">Computing Support Services:
</t>
        </r>
        <r>
          <rPr>
            <sz val="9"/>
            <color indexed="8"/>
            <rFont val="Arial"/>
            <family val="2"/>
          </rPr>
          <t>Effeciency values assume that all electricity and natural gas is used in building sector and both energy sources receive the same reduction factor with increased efficiency</t>
        </r>
      </text>
    </comment>
    <comment ref="B47" authorId="0">
      <text>
        <r>
          <rPr>
            <b/>
            <sz val="9"/>
            <color indexed="8"/>
            <rFont val="Arial"/>
            <family val="2"/>
          </rPr>
          <t>http://quickfacts.census.gov/qfd/states/06/06079.html</t>
        </r>
      </text>
    </comment>
    <comment ref="E8" authorId="0">
      <text>
        <r>
          <rPr>
            <b/>
            <sz val="9"/>
            <color indexed="8"/>
            <rFont val="Arial"/>
            <family val="2"/>
          </rPr>
          <t>Computing Support Services:Efficiency of solar water heater should be about equal to the efficiency of an electric water heater: limited only by losses of the external tank.</t>
        </r>
      </text>
    </comment>
    <comment ref="E9" authorId="0">
      <text>
        <r>
          <rPr>
            <b/>
            <sz val="9"/>
            <color indexed="8"/>
            <rFont val="Arial"/>
            <family val="2"/>
          </rPr>
          <t xml:space="preserve">Computing Support Services:
</t>
        </r>
        <r>
          <rPr>
            <sz val="9"/>
            <color indexed="8"/>
            <rFont val="Arial"/>
            <family val="2"/>
          </rPr>
          <t>Efficiency of solar water heater should be about equal to the efficiency of an electric water heater: limited only by losses of the external tank.</t>
        </r>
      </text>
    </comment>
    <comment ref="K24" authorId="0">
      <text>
        <r>
          <rPr>
            <b/>
            <sz val="9"/>
            <color indexed="8"/>
            <rFont val="Arial"/>
            <family val="2"/>
          </rPr>
          <t xml:space="preserve">Computing Support Services:
</t>
        </r>
        <r>
          <rPr>
            <sz val="9"/>
            <color indexed="8"/>
            <rFont val="Arial"/>
            <family val="2"/>
          </rPr>
          <t>Includes the extra money we get by selling our surplus energy back to the grid at the going rate</t>
        </r>
      </text>
    </comment>
    <comment ref="E28" authorId="0">
      <text>
        <r>
          <rPr>
            <b/>
            <sz val="9"/>
            <color indexed="8"/>
            <rFont val="DejaVu Sans"/>
            <family val="1"/>
          </rPr>
          <t xml:space="preserve">Tam Hunt:
</t>
        </r>
        <r>
          <rPr>
            <sz val="9"/>
            <color indexed="8"/>
            <rFont val="DejaVu Sans"/>
            <family val="1"/>
          </rPr>
          <t>Assuming a 10% improvement in efficiency or conservation</t>
        </r>
      </text>
    </comment>
    <comment ref="M28" authorId="0">
      <text>
        <r>
          <rPr>
            <b/>
            <sz val="9"/>
            <color indexed="8"/>
            <rFont val="Arial"/>
            <family val="2"/>
          </rPr>
          <t xml:space="preserve">Computing Support Services:
</t>
        </r>
        <r>
          <rPr>
            <sz val="9"/>
            <color indexed="8"/>
            <rFont val="Arial"/>
            <family val="2"/>
          </rPr>
          <t>Cost of mediating variability should be included because "peak power" doesn't come into these equations, as there's no use of NG</t>
        </r>
      </text>
    </comment>
    <comment ref="E29" authorId="0">
      <text>
        <r>
          <rPr>
            <b/>
            <sz val="9"/>
            <color indexed="8"/>
            <rFont val="DejaVu Sans"/>
            <family val="1"/>
          </rPr>
          <t xml:space="preserve">Tam Hunt:
</t>
        </r>
        <r>
          <rPr>
            <sz val="9"/>
            <color indexed="8"/>
            <rFont val="DejaVu Sans"/>
            <family val="1"/>
          </rPr>
          <t>Assuming a 20% improvement in efficiency or conservation</t>
        </r>
      </text>
    </comment>
    <comment ref="P29" authorId="0">
      <text>
        <r>
          <rPr>
            <b/>
            <sz val="9"/>
            <color indexed="8"/>
            <rFont val="Arial"/>
            <family val="2"/>
          </rPr>
          <t xml:space="preserve">Computing Support Services:
</t>
        </r>
        <r>
          <rPr>
            <sz val="9"/>
            <color indexed="8"/>
            <rFont val="Arial"/>
            <family val="2"/>
          </rPr>
          <t>This is something I need to talk to find out about.  Will the retail just add on a fixed amount, or a fraction?</t>
        </r>
      </text>
    </comment>
    <comment ref="N30" authorId="0">
      <text>
        <r>
          <rPr>
            <b/>
            <sz val="9"/>
            <color indexed="8"/>
            <rFont val="DejaVu Sans"/>
            <family val="1"/>
          </rPr>
          <t xml:space="preserve">Tam Hunt:
</t>
        </r>
        <r>
          <rPr>
            <sz val="9"/>
            <color indexed="8"/>
            <rFont val="DejaVu Sans"/>
            <family val="1"/>
          </rPr>
          <t>Based on NREL compilation of state studies finding about half a cent per kWh cost for up to 30% variable resources</t>
        </r>
      </text>
    </comment>
    <comment ref="C11" authorId="1">
      <text>
        <r>
          <rPr>
            <b/>
            <sz val="8"/>
            <rFont val="Tahoma"/>
            <family val="2"/>
          </rPr>
          <t>From December 2006 bill insert for 2005</t>
        </r>
        <r>
          <rPr>
            <sz val="8"/>
            <rFont val="Tahoma"/>
            <family val="2"/>
          </rPr>
          <t xml:space="preserve">
</t>
        </r>
      </text>
    </comment>
    <comment ref="D11" authorId="1">
      <text>
        <r>
          <rPr>
            <b/>
            <sz val="8"/>
            <rFont val="Tahoma"/>
            <family val="2"/>
          </rPr>
          <t>From 2006 PCL</t>
        </r>
      </text>
    </comment>
    <comment ref="D34" authorId="2">
      <text>
        <r>
          <rPr>
            <b/>
            <sz val="9"/>
            <rFont val="Arial"/>
            <family val="2"/>
          </rPr>
          <t>Computing Support Services:</t>
        </r>
        <r>
          <rPr>
            <sz val="9"/>
            <rFont val="Arial"/>
            <family val="2"/>
          </rPr>
          <t xml:space="preserve">
As SB industry is heavily tourism, we can estimate that the increased industry efficiency will scale with building efficiency</t>
        </r>
      </text>
    </comment>
    <comment ref="E22" authorId="2">
      <text>
        <r>
          <rPr>
            <b/>
            <sz val="9"/>
            <rFont val="Arial"/>
            <family val="2"/>
          </rPr>
          <t>Computing Support Services:</t>
        </r>
        <r>
          <rPr>
            <sz val="9"/>
            <rFont val="Arial"/>
            <family val="2"/>
          </rPr>
          <t xml:space="preserve">
Does BAU production equal BAU demand?</t>
        </r>
      </text>
    </comment>
    <comment ref="M24" authorId="2">
      <text>
        <r>
          <rPr>
            <b/>
            <sz val="9"/>
            <rFont val="Arial"/>
            <family val="2"/>
          </rPr>
          <t>Computing Support Services:</t>
        </r>
        <r>
          <rPr>
            <sz val="9"/>
            <rFont val="Arial"/>
            <family val="2"/>
          </rPr>
          <t xml:space="preserve">
I do not know these values</t>
        </r>
      </text>
    </comment>
    <comment ref="N24" authorId="2">
      <text>
        <r>
          <rPr>
            <b/>
            <sz val="9"/>
            <rFont val="Arial"/>
            <family val="2"/>
          </rPr>
          <t>Computing Support Services:</t>
        </r>
        <r>
          <rPr>
            <sz val="9"/>
            <rFont val="Arial"/>
            <family val="2"/>
          </rPr>
          <t xml:space="preserve">
I do not know these values</t>
        </r>
      </text>
    </comment>
  </commentList>
</comments>
</file>

<file path=xl/comments4.xml><?xml version="1.0" encoding="utf-8"?>
<comments xmlns="http://schemas.openxmlformats.org/spreadsheetml/2006/main">
  <authors>
    <author/>
  </authors>
  <commentList>
    <comment ref="AX8" authorId="0">
      <text>
        <r>
          <rPr>
            <b/>
            <sz val="8"/>
            <color indexed="8"/>
            <rFont val="Times New Roman"/>
            <family val="1"/>
          </rPr>
          <t xml:space="preserve">Tam Hunt:
</t>
        </r>
        <r>
          <rPr>
            <sz val="8"/>
            <color indexed="8"/>
            <rFont val="Times New Roman"/>
            <family val="1"/>
          </rPr>
          <t>10% of BAU gasoline</t>
        </r>
      </text>
    </comment>
    <comment ref="AL5" authorId="0">
      <text>
        <r>
          <rPr>
            <b/>
            <sz val="8"/>
            <color indexed="8"/>
            <rFont val="Times New Roman"/>
            <family val="1"/>
          </rPr>
          <t xml:space="preserve">Tam Hunt:
</t>
        </r>
        <r>
          <rPr>
            <sz val="8"/>
            <color indexed="8"/>
            <rFont val="Times New Roman"/>
            <family val="1"/>
          </rPr>
          <t xml:space="preserve">2010-2020 from UCSB forecast
</t>
        </r>
      </text>
    </comment>
    <comment ref="AC4" authorId="0">
      <text>
        <r>
          <rPr>
            <b/>
            <sz val="8"/>
            <color indexed="8"/>
            <rFont val="Times New Roman"/>
            <family val="1"/>
          </rPr>
          <t xml:space="preserve">Tam Hunt:
</t>
        </r>
        <r>
          <rPr>
            <sz val="8"/>
            <color indexed="8"/>
            <rFont val="Times New Roman"/>
            <family val="1"/>
          </rPr>
          <t>2010-2020 from UCSB forecast</t>
        </r>
      </text>
    </comment>
    <comment ref="AA4" authorId="0">
      <text>
        <r>
          <rPr>
            <b/>
            <sz val="8"/>
            <color indexed="8"/>
            <rFont val="Times New Roman"/>
            <family val="1"/>
          </rPr>
          <t xml:space="preserve">Tamlyn Hunt:
</t>
        </r>
        <r>
          <rPr>
            <sz val="8"/>
            <color indexed="8"/>
            <rFont val="Times New Roman"/>
            <family val="1"/>
          </rPr>
          <t>This is 1.1% times the statewide daily residential and commercial consumption 1885</t>
        </r>
      </text>
    </comment>
    <comment ref="D4" authorId="0">
      <text>
        <r>
          <rPr>
            <b/>
            <sz val="8"/>
            <color indexed="8"/>
            <rFont val="Times New Roman"/>
            <family val="1"/>
          </rPr>
          <t xml:space="preserve">Tam Hunt:
</t>
        </r>
        <r>
          <rPr>
            <sz val="8"/>
            <color indexed="8"/>
            <rFont val="Times New Roman"/>
            <family val="1"/>
          </rPr>
          <t>2010-2020 from UCSB forecast</t>
        </r>
      </text>
    </comment>
    <comment ref="C4" authorId="0">
      <text>
        <r>
          <rPr>
            <b/>
            <sz val="8"/>
            <color indexed="8"/>
            <rFont val="Times New Roman"/>
            <family val="1"/>
          </rPr>
          <t xml:space="preserve">Tam Hunt:
</t>
        </r>
        <r>
          <rPr>
            <sz val="8"/>
            <color indexed="8"/>
            <rFont val="Times New Roman"/>
            <family val="1"/>
          </rPr>
          <t>This is from Soheila's email, not from MVSTAFF 2005</t>
        </r>
      </text>
    </comment>
  </commentList>
</comments>
</file>

<file path=xl/comments5.xml><?xml version="1.0" encoding="utf-8"?>
<comments xmlns="http://schemas.openxmlformats.org/spreadsheetml/2006/main">
  <authors>
    <author/>
    <author>Bob Lawson</author>
  </authors>
  <commentList>
    <comment ref="C4" authorId="0">
      <text>
        <r>
          <rPr>
            <b/>
            <sz val="8"/>
            <color indexed="8"/>
            <rFont val="DejaVu Sans"/>
            <family val="1"/>
          </rPr>
          <t xml:space="preserve">Tam Hunt:
</t>
        </r>
        <r>
          <rPr>
            <sz val="8"/>
            <color indexed="8"/>
            <rFont val="DejaVu Sans"/>
            <family val="1"/>
          </rPr>
          <t>This is from Soheila's email, not from MVSTAFF 2005</t>
        </r>
      </text>
    </comment>
    <comment ref="D4" authorId="0">
      <text>
        <r>
          <rPr>
            <b/>
            <sz val="8"/>
            <color indexed="8"/>
            <rFont val="DejaVu Sans"/>
            <family val="1"/>
          </rPr>
          <t xml:space="preserve">Tam Hunt:
</t>
        </r>
        <r>
          <rPr>
            <sz val="8"/>
            <color indexed="8"/>
            <rFont val="DejaVu Sans"/>
            <family val="1"/>
          </rPr>
          <t>2010-2030 from UCSB forecast</t>
        </r>
      </text>
    </comment>
    <comment ref="B14" authorId="0">
      <text>
        <r>
          <rPr>
            <b/>
            <sz val="9"/>
            <color indexed="8"/>
            <rFont val="Arial"/>
            <family val="2"/>
          </rPr>
          <t xml:space="preserve">Computing Support Services:
</t>
        </r>
        <r>
          <rPr>
            <sz val="9"/>
            <color indexed="8"/>
            <rFont val="Arial"/>
            <family val="2"/>
          </rPr>
          <t>From "hybridcar.com" Ted Stevens urged automakers to reach 40 miles per gallon by 2017, a considerable increase over the current standard of 27.5 mpg for passenger vehicles. Democratic Sen. Barack Obama introduced his own legislation to raise fuel economy standards. "The onus should no longer be on the public to prove why higher fuel economy standards are necessary—it should be on our government to prove why they are not," Obama wrote.</t>
        </r>
      </text>
    </comment>
    <comment ref="A16" authorId="0">
      <text>
        <r>
          <rPr>
            <b/>
            <sz val="9"/>
            <color indexed="8"/>
            <rFont val="DejaVu Sans"/>
            <family val="1"/>
          </rPr>
          <t xml:space="preserve">Tam Hunt:
</t>
        </r>
        <r>
          <rPr>
            <sz val="9"/>
            <color indexed="8"/>
            <rFont val="DejaVu Sans"/>
            <family val="1"/>
          </rPr>
          <t>Displacing an equivalent amount of gasoline</t>
        </r>
      </text>
    </comment>
    <comment ref="G16" authorId="0">
      <text>
        <r>
          <rPr>
            <b/>
            <sz val="9"/>
            <color indexed="8"/>
            <rFont val="DejaVu Sans"/>
            <family val="1"/>
          </rPr>
          <t xml:space="preserve">Tam Hunt:
</t>
        </r>
        <r>
          <rPr>
            <sz val="9"/>
            <color indexed="8"/>
            <rFont val="DejaVu Sans"/>
            <family val="1"/>
          </rPr>
          <t xml:space="preserve">Displacing an equiv. amount of gasolline
</t>
        </r>
      </text>
    </comment>
    <comment ref="A17" authorId="0">
      <text>
        <r>
          <rPr>
            <b/>
            <sz val="9"/>
            <color indexed="8"/>
            <rFont val="Arial"/>
            <family val="2"/>
          </rPr>
          <t xml:space="preserve">Computing Support Services:
</t>
        </r>
        <r>
          <rPr>
            <sz val="9"/>
            <color indexed="8"/>
            <rFont val="Arial"/>
            <family val="2"/>
          </rPr>
          <t>assumes 52% energy use of gasoline engines</t>
        </r>
      </text>
    </comment>
    <comment ref="G17" authorId="0">
      <text>
        <r>
          <rPr>
            <b/>
            <sz val="9"/>
            <color indexed="8"/>
            <rFont val="Arial"/>
            <family val="2"/>
          </rPr>
          <t xml:space="preserve">Computing Support Services:
</t>
        </r>
        <r>
          <rPr>
            <sz val="9"/>
            <color indexed="8"/>
            <rFont val="Arial"/>
            <family val="2"/>
          </rPr>
          <t>Computing Support Services:
assumes 52% energy use of gasoline engines</t>
        </r>
      </text>
    </comment>
    <comment ref="D18" authorId="0">
      <text>
        <r>
          <rPr>
            <b/>
            <sz val="9"/>
            <color indexed="8"/>
            <rFont val="Arial"/>
            <family val="2"/>
          </rPr>
          <t xml:space="preserve">Computing Support Services:
</t>
        </r>
        <r>
          <rPr>
            <sz val="9"/>
            <color indexed="8"/>
            <rFont val="Arial"/>
            <family val="2"/>
          </rPr>
          <t>Computing Support Services:
This column is not the sum of the above columns, because each energy reduction above is calculated in isolation of the other energy reduction measures.</t>
        </r>
      </text>
    </comment>
    <comment ref="J18" authorId="0">
      <text>
        <r>
          <rPr>
            <b/>
            <sz val="9"/>
            <color indexed="8"/>
            <rFont val="Arial"/>
            <family val="2"/>
          </rPr>
          <t xml:space="preserve">Computing Support Services:
</t>
        </r>
        <r>
          <rPr>
            <sz val="9"/>
            <color indexed="8"/>
            <rFont val="Arial"/>
            <family val="2"/>
          </rPr>
          <t>Computing Support Services:
This column is not the sum of the above columns, because each energy reduction above is calculated in isolation of the other energy reduction measures.</t>
        </r>
      </text>
    </comment>
    <comment ref="A23" authorId="0">
      <text>
        <r>
          <rPr>
            <b/>
            <sz val="9"/>
            <color indexed="8"/>
            <rFont val="DejaVu Sans"/>
            <family val="1"/>
          </rPr>
          <t xml:space="preserve">Tam Hunt:
</t>
        </r>
        <r>
          <rPr>
            <sz val="9"/>
            <color indexed="8"/>
            <rFont val="DejaVu Sans"/>
            <family val="1"/>
          </rPr>
          <t>Displacing an equivalent amount of gasoline</t>
        </r>
      </text>
    </comment>
    <comment ref="G23" authorId="0">
      <text>
        <r>
          <rPr>
            <b/>
            <sz val="9"/>
            <color indexed="8"/>
            <rFont val="DejaVu Sans"/>
            <family val="1"/>
          </rPr>
          <t xml:space="preserve">Tam Hunt:
</t>
        </r>
        <r>
          <rPr>
            <sz val="9"/>
            <color indexed="8"/>
            <rFont val="DejaVu Sans"/>
            <family val="1"/>
          </rPr>
          <t xml:space="preserve">Displacing an equiv. amount of gasolline
</t>
        </r>
      </text>
    </comment>
    <comment ref="A24" authorId="0">
      <text>
        <r>
          <rPr>
            <b/>
            <sz val="9"/>
            <color indexed="8"/>
            <rFont val="Arial"/>
            <family val="2"/>
          </rPr>
          <t xml:space="preserve">Computing Support Services:
</t>
        </r>
        <r>
          <rPr>
            <sz val="9"/>
            <color indexed="8"/>
            <rFont val="Arial"/>
            <family val="2"/>
          </rPr>
          <t>assumes 52% energy use of gasoline engines</t>
        </r>
      </text>
    </comment>
    <comment ref="G24" authorId="0">
      <text>
        <r>
          <rPr>
            <b/>
            <sz val="9"/>
            <color indexed="8"/>
            <rFont val="Arial"/>
            <family val="2"/>
          </rPr>
          <t xml:space="preserve">Computing Support Services:
</t>
        </r>
        <r>
          <rPr>
            <sz val="9"/>
            <color indexed="8"/>
            <rFont val="Arial"/>
            <family val="2"/>
          </rPr>
          <t>Computing Support Services:
assumes 52% energy use of gasoline engines</t>
        </r>
      </text>
    </comment>
    <comment ref="A25" authorId="0">
      <text>
        <r>
          <rPr>
            <b/>
            <sz val="9"/>
            <color indexed="8"/>
            <rFont val="DejaVu Sans"/>
            <family val="1"/>
          </rPr>
          <t xml:space="preserve">Tam Hunt:
</t>
        </r>
        <r>
          <rPr>
            <sz val="9"/>
            <color indexed="8"/>
            <rFont val="DejaVu Sans"/>
            <family val="1"/>
          </rPr>
          <t>Displacin an equivalent amount of diesel</t>
        </r>
      </text>
    </comment>
    <comment ref="G25" authorId="0">
      <text>
        <r>
          <rPr>
            <b/>
            <sz val="9"/>
            <color indexed="8"/>
            <rFont val="DejaVu Sans"/>
            <family val="1"/>
          </rPr>
          <t xml:space="preserve">Tam Hunt:
</t>
        </r>
        <r>
          <rPr>
            <sz val="9"/>
            <color indexed="8"/>
            <rFont val="DejaVu Sans"/>
            <family val="1"/>
          </rPr>
          <t>Displacin an equivalent amount of diesel</t>
        </r>
      </text>
    </comment>
    <comment ref="D26" authorId="0">
      <text>
        <r>
          <rPr>
            <b/>
            <sz val="9"/>
            <color indexed="8"/>
            <rFont val="Arial"/>
            <family val="2"/>
          </rPr>
          <t xml:space="preserve">Computing Support Services:
</t>
        </r>
        <r>
          <rPr>
            <sz val="9"/>
            <color indexed="8"/>
            <rFont val="Arial"/>
            <family val="2"/>
          </rPr>
          <t>This column is not the sum of the above columns, because each energy reduction above is calculated in isolation of the other energy reduction measures.</t>
        </r>
      </text>
    </comment>
    <comment ref="J26" authorId="0">
      <text>
        <r>
          <rPr>
            <b/>
            <sz val="9"/>
            <color indexed="8"/>
            <rFont val="Arial"/>
            <family val="2"/>
          </rPr>
          <t xml:space="preserve">Computing Support Services:
</t>
        </r>
        <r>
          <rPr>
            <sz val="9"/>
            <color indexed="8"/>
            <rFont val="Arial"/>
            <family val="2"/>
          </rPr>
          <t>Computing Support Services:
This column is not the sum of the above columns, because each energy reduction above is calculated in isolation of the other energy reduction measures.</t>
        </r>
      </text>
    </comment>
    <comment ref="A30" authorId="0">
      <text>
        <r>
          <rPr>
            <b/>
            <sz val="9"/>
            <color indexed="8"/>
            <rFont val="Arial"/>
            <family val="2"/>
          </rPr>
          <t xml:space="preserve">Computing Support Services:
</t>
        </r>
        <r>
          <rPr>
            <sz val="9"/>
            <color indexed="8"/>
            <rFont val="Arial"/>
            <family val="2"/>
          </rPr>
          <t>to displace petroleum directly with electricity (Made by comparing the mileage of the Tesla with the Elise: Tesla Battery Technology, M. Eberhard, M Tarpenning, Tesla Motors, Inc, 6 October, 2006), make hydrogen, and supply resources to make biodiesel (D. Tilman, J. Hill, C. Lehman, Science, 314, 2006, 1598)</t>
        </r>
      </text>
    </comment>
    <comment ref="D35" authorId="0">
      <text>
        <r>
          <rPr>
            <b/>
            <sz val="9"/>
            <color indexed="8"/>
            <rFont val="Arial"/>
            <family val="2"/>
          </rPr>
          <t xml:space="preserve">Computing Support Services:A E Farrel, A. R. Brandt  2006 Environ. Res. Lett. 1 014004
</t>
        </r>
      </text>
    </comment>
    <comment ref="N35" authorId="0">
      <text>
        <r>
          <rPr>
            <b/>
            <sz val="9"/>
            <color indexed="8"/>
            <rFont val="Arial"/>
            <family val="2"/>
          </rPr>
          <t xml:space="preserve">Computing Support Services:
</t>
        </r>
        <r>
          <rPr>
            <sz val="9"/>
            <color indexed="8"/>
            <rFont val="Arial"/>
            <family val="2"/>
          </rPr>
          <t>Calculated from a comparison of the electric Tesla, with an analogus sports car, the Lotus Elise.</t>
        </r>
      </text>
    </comment>
    <comment ref="G36" authorId="0">
      <text>
        <r>
          <rPr>
            <b/>
            <sz val="9"/>
            <color indexed="8"/>
            <rFont val="Arial"/>
            <family val="2"/>
          </rPr>
          <t xml:space="preserve">Computing Support Services:
</t>
        </r>
        <r>
          <rPr>
            <sz val="9"/>
            <color indexed="8"/>
            <rFont val="Arial"/>
            <family val="2"/>
          </rPr>
          <t>This is the portion of the grid electricity that is made from NGCC that is NOT compensated for by renewable electricity</t>
        </r>
      </text>
    </comment>
    <comment ref="I36" authorId="0">
      <text>
        <r>
          <rPr>
            <b/>
            <sz val="9"/>
            <color indexed="8"/>
            <rFont val="Arial"/>
            <family val="2"/>
          </rPr>
          <t xml:space="preserve">Computing Support Services:
</t>
        </r>
        <r>
          <rPr>
            <sz val="9"/>
            <color indexed="8"/>
            <rFont val="Arial"/>
            <family val="2"/>
          </rPr>
          <t>This is the portion of the grid electricity that is made from NGCC that is NOT compensated for by renewable electricity</t>
        </r>
      </text>
    </comment>
    <comment ref="A69" authorId="0">
      <text>
        <r>
          <rPr>
            <b/>
            <sz val="9"/>
            <color indexed="8"/>
            <rFont val="Arial"/>
            <family val="2"/>
          </rPr>
          <t xml:space="preserve">Computing Support Services:
</t>
        </r>
        <r>
          <rPr>
            <sz val="9"/>
            <color indexed="8"/>
            <rFont val="Arial"/>
            <family val="2"/>
          </rPr>
          <t>This is no longer used, as we decided to get this energy from wind electricity in stead.  It is estimated that NG uses only 52% the energy that petroleum does.</t>
        </r>
      </text>
    </comment>
    <comment ref="C33" authorId="1">
      <text>
        <r>
          <rPr>
            <b/>
            <sz val="8"/>
            <rFont val="Tahoma"/>
            <family val="0"/>
          </rPr>
          <t>Bob Lawson:</t>
        </r>
        <r>
          <rPr>
            <sz val="8"/>
            <rFont val="Tahoma"/>
            <family val="0"/>
          </rPr>
          <t xml:space="preserve">
This refers to Evs and PHEVs running in EV mode</t>
        </r>
      </text>
    </comment>
  </commentList>
</comments>
</file>

<file path=xl/comments6.xml><?xml version="1.0" encoding="utf-8"?>
<comments xmlns="http://schemas.openxmlformats.org/spreadsheetml/2006/main">
  <authors>
    <author/>
    <author>Physics Student</author>
    <author> Ralph Lewis</author>
  </authors>
  <commentList>
    <comment ref="A58" authorId="0">
      <text>
        <r>
          <rPr>
            <b/>
            <sz val="9"/>
            <color indexed="8"/>
            <rFont val="Verdana"/>
            <family val="2"/>
          </rPr>
          <t xml:space="preserve">Computing Support Services:
</t>
        </r>
        <r>
          <rPr>
            <sz val="9"/>
            <color indexed="8"/>
            <rFont val="Verdana"/>
            <family val="2"/>
          </rPr>
          <t>Biopower and Waste Conversion Technologies for Santa Barbara County, California, D. Kammen, M. Chester, R. Plevin, D. Rajagopal, Santa Barbara CEC Report</t>
        </r>
      </text>
    </comment>
    <comment ref="B62"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t>
        </r>
      </text>
    </comment>
    <comment ref="G62"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
Rewable Energy Sources, A. V. Herzog, T. E. Lipman, D. M. Kammen, Encyclopedia of Life Supporrt Systems, Forerunner Volume, part 4C. 
REN21 Renewable Policy Energy Network. 2005. "Renewables 2005 Global Status Report." Washington, DC: Worldwatch Institute.</t>
        </r>
      </text>
    </comment>
    <comment ref="H5" authorId="0">
      <text>
        <r>
          <rPr>
            <b/>
            <sz val="9"/>
            <color indexed="8"/>
            <rFont val="Arial"/>
            <family val="2"/>
          </rPr>
          <t xml:space="preserve">Computing Support Services:
</t>
        </r>
        <r>
          <rPr>
            <sz val="9"/>
            <color indexed="8"/>
            <rFont val="Arial"/>
            <family val="2"/>
          </rPr>
          <t>I presume this is the retail price.  This very low, as this is presently the price paid for off demand.  High demand is about three times this price.</t>
        </r>
      </text>
    </comment>
    <comment ref="I63" authorId="0">
      <text>
        <r>
          <rPr>
            <b/>
            <sz val="9"/>
            <color indexed="8"/>
            <rFont val="Arial"/>
            <family val="2"/>
          </rPr>
          <t xml:space="preserve">Computing Support Services:
</t>
        </r>
        <r>
          <rPr>
            <sz val="9"/>
            <color indexed="8"/>
            <rFont val="Arial"/>
            <family val="2"/>
          </rPr>
          <t>Cost is less, when one considers that for every Watt of electrical power produced, 2 Watts of heat are produced, esstentially doubling the value of the technology if used.</t>
        </r>
      </text>
    </comment>
    <comment ref="G64" authorId="0">
      <text>
        <r>
          <rPr>
            <b/>
            <sz val="9"/>
            <color indexed="8"/>
            <rFont val="Verdana"/>
            <family val="2"/>
          </rPr>
          <t xml:space="preserve">Computing Support Services:
</t>
        </r>
        <r>
          <rPr>
            <sz val="9"/>
            <color indexed="8"/>
            <rFont val="Verdana"/>
            <family val="2"/>
          </rPr>
          <t>US Department of Energy Solar Energy Technologies Program, Multi-Year Technical Plan 2003-2007, January, 2004  
SolFocus (Mt. View CA), Solar Systems (AUS)</t>
        </r>
      </text>
    </comment>
    <comment ref="B65" authorId="0">
      <text>
        <r>
          <rPr>
            <b/>
            <sz val="9"/>
            <color indexed="8"/>
            <rFont val="DejaVu Sans"/>
            <family val="1"/>
          </rPr>
          <t xml:space="preserve">Tam Hunt:
</t>
        </r>
        <r>
          <rPr>
            <sz val="9"/>
            <color indexed="8"/>
            <rFont val="DejaVu Sans"/>
            <family val="1"/>
          </rPr>
          <t>CEC, DRAFT Central Station Cost of Generation report (2007), p. 7</t>
        </r>
      </text>
    </comment>
    <comment ref="G65" authorId="0">
      <text>
        <r>
          <rPr>
            <b/>
            <sz val="9"/>
            <color indexed="8"/>
            <rFont val="Verdana"/>
            <family val="2"/>
          </rPr>
          <t xml:space="preserve">Computing Support Services:
</t>
        </r>
        <r>
          <rPr>
            <sz val="9"/>
            <color indexed="8"/>
            <rFont val="Verdana"/>
            <family val="2"/>
          </rPr>
          <t>US Department of Energy Solar Energy Technologies Program, Multi-Year Technical Plan 2003-2007, January, 2004  
Comparative Cost of California Central Station Electricity Generation Technologies, M. Badr, R. Benjamin, CEC report, 100-03-001F, June 5, 2003</t>
        </r>
      </text>
    </comment>
    <comment ref="B66" authorId="0">
      <text>
        <r>
          <rPr>
            <b/>
            <sz val="9"/>
            <color indexed="8"/>
            <rFont val="Verdana"/>
            <family val="2"/>
          </rPr>
          <t xml:space="preserve">Computing Support Services:
</t>
        </r>
        <r>
          <rPr>
            <sz val="9"/>
            <color indexed="8"/>
            <rFont val="Verdana"/>
            <family val="2"/>
          </rPr>
          <t xml:space="preserve"> US Department of Energy Solar Energy Technologies Program, Multi-Year Technical Plan 2003-2007, January, 2004  </t>
        </r>
      </text>
    </comment>
    <comment ref="G66"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
US Department of Energy Solar Energy Technologies Program, Multi-Year Technical Plan 2003-2007, January, 2004  
NREL "Assessment of Parabolic Trough and Power Tower Solar Technology Cost and Performance Forecasts", Sargent &amp; Lundy LLC Consulting Group Chicago, Illinois, NREL/SR-550-34440 (Oct., 2003)</t>
        </r>
      </text>
    </comment>
    <comment ref="H66" authorId="0">
      <text>
        <r>
          <rPr>
            <b/>
            <sz val="9"/>
            <color indexed="8"/>
            <rFont val="Verdana"/>
            <family val="2"/>
          </rPr>
          <t xml:space="preserve">Computing Support Services:
</t>
        </r>
        <r>
          <rPr>
            <sz val="9"/>
            <color indexed="8"/>
            <rFont val="Verdana"/>
            <family val="2"/>
          </rPr>
          <t xml:space="preserve">US Department of Energy Solar Energy Technologies Program, Multi-Year Technical Plan 2003-2007, January, 2004  
NREL "Assessment of Parabolic Trough and Power Tower Solar Technology Cost and Performance Forecasts", Sargent &amp; Lundy LLC Consulting Group Chicago, Illinois, NREL/SR-550-34440 (Oct., 2003). </t>
        </r>
      </text>
    </comment>
    <comment ref="H15" authorId="0">
      <text>
        <r>
          <rPr>
            <b/>
            <sz val="9"/>
            <color indexed="8"/>
            <rFont val="Arial"/>
            <family val="2"/>
          </rPr>
          <t xml:space="preserve">Computing Support Services:
</t>
        </r>
        <r>
          <rPr>
            <sz val="9"/>
            <color indexed="8"/>
            <rFont val="Arial"/>
            <family val="2"/>
          </rPr>
          <t>http://www.airnav.com/fuel/local.html</t>
        </r>
      </text>
    </comment>
    <comment ref="L15" authorId="0">
      <text>
        <r>
          <rPr>
            <b/>
            <sz val="9"/>
            <color indexed="8"/>
            <rFont val="Arial"/>
            <family val="2"/>
          </rPr>
          <t xml:space="preserve">Computing Support Services:
</t>
        </r>
        <r>
          <rPr>
            <sz val="9"/>
            <color indexed="8"/>
            <rFont val="Arial"/>
            <family val="2"/>
          </rPr>
          <t>http://www.airnav.com/fuel/local.html</t>
        </r>
      </text>
    </comment>
    <comment ref="P15" authorId="0">
      <text>
        <r>
          <rPr>
            <b/>
            <sz val="9"/>
            <color indexed="8"/>
            <rFont val="Arial"/>
            <family val="2"/>
          </rPr>
          <t xml:space="preserve">Computing Support Services:
</t>
        </r>
        <r>
          <rPr>
            <sz val="9"/>
            <color indexed="8"/>
            <rFont val="Arial"/>
            <family val="2"/>
          </rPr>
          <t>http://www.airnav.com/fuel/local.html</t>
        </r>
      </text>
    </comment>
    <comment ref="B73" authorId="0">
      <text>
        <r>
          <rPr>
            <b/>
            <sz val="9"/>
            <color indexed="8"/>
            <rFont val="DejaVu Sans"/>
            <family val="1"/>
          </rPr>
          <t xml:space="preserve">Tam Hunt:
</t>
        </r>
        <r>
          <rPr>
            <sz val="9"/>
            <color indexed="8"/>
            <rFont val="DejaVu Sans"/>
            <family val="1"/>
          </rPr>
          <t>CEC draft Central Station Cost of Generation p. 7, cost to IOU</t>
        </r>
      </text>
    </comment>
    <comment ref="B76"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t>
        </r>
      </text>
    </comment>
    <comment ref="H76" authorId="0">
      <text>
        <r>
          <rPr>
            <b/>
            <sz val="9"/>
            <color indexed="8"/>
            <rFont val="Verdana"/>
            <family val="2"/>
          </rPr>
          <t xml:space="preserve">Computing Support Services:
</t>
        </r>
        <r>
          <rPr>
            <sz val="9"/>
            <color indexed="8"/>
            <rFont val="Verdana"/>
            <family val="2"/>
          </rPr>
          <t>Assessing the Costs of Electricity, D. M. Kammen, S. Pacca, Annu. Rev. Environ. Resour. 2004, 29:13.1 - 13.44</t>
        </r>
      </text>
    </comment>
    <comment ref="B77" authorId="0">
      <text>
        <r>
          <rPr>
            <b/>
            <sz val="9"/>
            <color indexed="8"/>
            <rFont val="Verdana"/>
            <family val="2"/>
          </rPr>
          <t xml:space="preserve">Computing Support Services:
</t>
        </r>
        <r>
          <rPr>
            <sz val="9"/>
            <color indexed="8"/>
            <rFont val="Verdana"/>
            <family val="2"/>
          </rPr>
          <t>Assessing the Costs of Electricity, D. M. Kammen, S. Pacca, Annu. Rev. Environ. Resour. 2004, 29:13.1 - 13.44
Comparative Cost of California Central Station Electricity Generation Technologies, M. Badr, R. Benjamin, CEC report, 100-03-001F, June 5, 2003</t>
        </r>
      </text>
    </comment>
    <comment ref="G77" authorId="0">
      <text>
        <r>
          <rPr>
            <b/>
            <sz val="9"/>
            <color indexed="8"/>
            <rFont val="Verdana"/>
            <family val="2"/>
          </rPr>
          <t xml:space="preserve">Computing Support Services:
</t>
        </r>
        <r>
          <rPr>
            <sz val="9"/>
            <color indexed="8"/>
            <rFont val="Verdana"/>
            <family val="2"/>
          </rPr>
          <t>US Department of Energy Solar Energy Technologies Program, Multi-Year Technical Plan 2003-2007, January, 2004  
based on an 11%/year decrease in price adopted from grubler et al, 1999, Martin Green's talk slide</t>
        </r>
      </text>
    </comment>
    <comment ref="H77" authorId="0">
      <text>
        <r>
          <rPr>
            <b/>
            <sz val="9"/>
            <color indexed="8"/>
            <rFont val="Verdana"/>
            <family val="2"/>
          </rPr>
          <t xml:space="preserve">Computing Support Services:
</t>
        </r>
        <r>
          <rPr>
            <sz val="9"/>
            <color indexed="8"/>
            <rFont val="Verdana"/>
            <family val="2"/>
          </rPr>
          <t xml:space="preserve">only environmental impact from: Rewable Energy Sources, A. V. Herzog, T. E. Lipman, D. M. Kammen, Encyclopedia of Life Supporrt Systems, Forerunner Volume, part 4C. </t>
        </r>
      </text>
    </comment>
    <comment ref="D77" authorId="0">
      <text>
        <r>
          <rPr>
            <b/>
            <sz val="9"/>
            <color indexed="8"/>
            <rFont val="Verdana"/>
            <family val="2"/>
          </rPr>
          <t xml:space="preserve">Computing Support Services:
</t>
        </r>
        <r>
          <rPr>
            <sz val="9"/>
            <color indexed="8"/>
            <rFont val="Verdana"/>
            <family val="2"/>
          </rPr>
          <t>based on $2.88/Watt rebate, 30 year lifetime, 7% discount rate
Additionally, the 30% Federal tax credit on the ~28% tax bracket amounts to an additional 2 cents/kwh.
REN21 Renewable Policy Energy Network. 2005. "Renewables 2005 Global Status Report." Washington, DC: Worldwatch Institute.)</t>
        </r>
      </text>
    </comment>
    <comment ref="F80" authorId="0">
      <text>
        <r>
          <rPr>
            <b/>
            <sz val="9"/>
            <color indexed="8"/>
            <rFont val="DejaVu Sans"/>
            <family val="1"/>
          </rPr>
          <t xml:space="preserve">Tam Hunt:
</t>
        </r>
      </text>
    </comment>
    <comment ref="B3"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G87"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t>
        </r>
      </text>
    </comment>
    <comment ref="B4"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B5" authorId="0">
      <text>
        <r>
          <rPr>
            <sz val="9"/>
            <color indexed="8"/>
            <rFont val="DejaVu Sans"/>
            <family val="1"/>
          </rPr>
          <t>California Central Station Electricity Generation TechnologiesJ. Klein, A. Rednam,  CEC report, 200-2007-011-SD, June 5, 2007</t>
        </r>
      </text>
    </comment>
    <comment ref="C5" authorId="0">
      <text>
        <r>
          <rPr>
            <b/>
            <sz val="9"/>
            <color indexed="8"/>
            <rFont val="DejaVu Sans"/>
            <family val="1"/>
          </rPr>
          <t>California Central Station Electricity Generation TechnologiesJ. Klein, A. Rednam,  CEC report, 200-2007-011-SD, June 5, 2007</t>
        </r>
      </text>
    </comment>
    <comment ref="D5" authorId="0">
      <text>
        <r>
          <rPr>
            <b/>
            <sz val="9"/>
            <color indexed="8"/>
            <rFont val="DejaVu Sans"/>
            <family val="1"/>
          </rPr>
          <t>California Central Station Electricity Generation TechnologiesJ. Klein, A. Rednam,  CEC report, 200-2007-011-SD, June 5, 2007</t>
        </r>
      </text>
    </comment>
    <comment ref="B89" authorId="0">
      <text>
        <r>
          <rPr>
            <b/>
            <sz val="9"/>
            <color indexed="8"/>
            <rFont val="Verdana"/>
            <family val="2"/>
          </rPr>
          <t xml:space="preserve">Computing Support Services:
</t>
        </r>
        <r>
          <rPr>
            <sz val="9"/>
            <color indexed="8"/>
            <rFont val="Verdana"/>
            <family val="2"/>
          </rPr>
          <t>Biopower and Waste Conversion Technologies for Santa Barbara County, California, D. Kammen, M. Chester, R. Plevin, D. Rajagopal, Santa Barbara CEC Report</t>
        </r>
      </text>
    </comment>
    <comment ref="H89" authorId="0">
      <text>
        <r>
          <rPr>
            <b/>
            <sz val="9"/>
            <color indexed="8"/>
            <rFont val="Verdana"/>
            <family val="2"/>
          </rPr>
          <t xml:space="preserve">Computing Support Services:
</t>
        </r>
        <r>
          <rPr>
            <sz val="9"/>
            <color indexed="8"/>
            <rFont val="Verdana"/>
            <family val="2"/>
          </rPr>
          <t xml:space="preserve">Assessing the Costs of Electricity, D. M. Kammen, S. Pacca, Annu. Rev. Environ. Resour. 2004, 29:13.1 - 13.44
Rewable Energy Sources, A. V. Herzog, T. E. Lipman, D. M. Kammen, Encyclopedia of Life Supporrt Systems, Forerunner Volume, part 4C. </t>
        </r>
      </text>
    </comment>
    <comment ref="B6"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B90" authorId="0">
      <text>
        <r>
          <rPr>
            <b/>
            <sz val="9"/>
            <color indexed="8"/>
            <rFont val="Verdana"/>
            <family val="2"/>
          </rPr>
          <t xml:space="preserve">Computing Support Services:
</t>
        </r>
        <r>
          <rPr>
            <sz val="9"/>
            <color indexed="8"/>
            <rFont val="Verdana"/>
            <family val="2"/>
          </rPr>
          <t>Biopower and Waste Conversion Technologies for Santa Barbara County, California, D. Kammen, M. Chester, R. Plevin, D. Rajagopal, Santa Barbara CEC Report</t>
        </r>
      </text>
    </comment>
    <comment ref="H90" authorId="0">
      <text>
        <r>
          <rPr>
            <b/>
            <sz val="9"/>
            <color indexed="8"/>
            <rFont val="Verdana"/>
            <family val="2"/>
          </rPr>
          <t xml:space="preserve">Computing Support Services:
</t>
        </r>
        <r>
          <rPr>
            <sz val="9"/>
            <color indexed="8"/>
            <rFont val="Verdana"/>
            <family val="2"/>
          </rPr>
          <t xml:space="preserve">Assessing the Costs of Electricity, D. M. Kammen, S. Pacca, Annu. Rev. Environ. Resour. 2004, 29:13.1 - 13.44
Rewable Energy Sources, A. V. Herzog, T. E. Lipman, D. M. Kammen, Encyclopedia of Life Supporrt Systems, Forerunner Volume, part 4C. </t>
        </r>
      </text>
    </comment>
    <comment ref="B7" authorId="0">
      <text>
        <r>
          <rPr>
            <b/>
            <sz val="9"/>
            <color indexed="8"/>
            <rFont val="Verdana"/>
            <family val="2"/>
          </rPr>
          <t xml:space="preserve">Computing Support Services:
</t>
        </r>
        <r>
          <rPr>
            <sz val="9"/>
            <color indexed="8"/>
            <rFont val="Verdana"/>
            <family val="2"/>
          </rPr>
          <t>Biopower and Waste Conversion Technologies for Santa Barbara County, California, D. Kammen, M. Chester, R. Plevin, D. Rajagopal, Santa Barbara CEC Report</t>
        </r>
      </text>
    </comment>
    <comment ref="B91"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t>
        </r>
      </text>
    </comment>
    <comment ref="H91" authorId="0">
      <text>
        <r>
          <rPr>
            <b/>
            <sz val="9"/>
            <color indexed="8"/>
            <rFont val="Verdana"/>
            <family val="2"/>
          </rPr>
          <t xml:space="preserve">Computing Support Services:
</t>
        </r>
        <r>
          <rPr>
            <sz val="9"/>
            <color indexed="8"/>
            <rFont val="Verdana"/>
            <family val="2"/>
          </rPr>
          <t xml:space="preserve">only environmental impact from: Rewable Energy Sources, A. V. Herzog, T. E. Lipman, D. M. Kammen, Encyclopedia of Life Supporrt Systems, Forerunner Volume, part 4C. </t>
        </r>
      </text>
    </comment>
    <comment ref="B8"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t>
        </r>
      </text>
    </comment>
    <comment ref="B92"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
Rewable Energy Sources, A. V. Herzog, T. E. Lipman, D. M. Kammen, Encyclopedia of Life Supporrt Systems, Forerunner Volume, part 4C. 
REN21 Renewable Policy Energy Network. 2005. "Renewables 2005 Global Status Report." Washington, DC: Worldwatch Institute.</t>
        </r>
      </text>
    </comment>
    <comment ref="G92" authorId="0">
      <text>
        <r>
          <rPr>
            <b/>
            <sz val="9"/>
            <color indexed="8"/>
            <rFont val="Verdana"/>
            <family val="2"/>
          </rPr>
          <t xml:space="preserve">Computing Support Services:
</t>
        </r>
        <r>
          <rPr>
            <sz val="9"/>
            <color indexed="8"/>
            <rFont val="Verdana"/>
            <family val="2"/>
          </rPr>
          <t xml:space="preserve">based on an 2.1%/year decrease in price adopted from grubler et al, 1999, Martin Green's talk slide
US Department of Energy Solar Energy Technologies Program, Multi-Year Technical Plan 2003-2007, January, 2004  </t>
        </r>
      </text>
    </comment>
    <comment ref="H92" authorId="0">
      <text>
        <r>
          <rPr>
            <b/>
            <sz val="9"/>
            <color indexed="8"/>
            <rFont val="Verdana"/>
            <family val="2"/>
          </rPr>
          <t xml:space="preserve">Computing Support Services:
</t>
        </r>
        <r>
          <rPr>
            <sz val="9"/>
            <color indexed="8"/>
            <rFont val="Verdana"/>
            <family val="2"/>
          </rPr>
          <t xml:space="preserve">Assessing the Costs of Electricity, D. M. Kammen, S. Pacca, Annu. Rev. Environ. Resour. 2004, 29:13.1 - 13.44
Rewable Energy Sources, A. V. Herzog, T. E. Lipman, D. M. Kammen, Encyclopedia of Life Supporrt Systems, Forerunner Volume, part 4C. </t>
        </r>
      </text>
    </comment>
    <comment ref="D92" authorId="0">
      <text>
        <r>
          <rPr>
            <b/>
            <sz val="9"/>
            <color indexed="8"/>
            <rFont val="Verdana"/>
            <family val="2"/>
          </rPr>
          <t xml:space="preserve">Computing Support Services:
</t>
        </r>
        <r>
          <rPr>
            <sz val="9"/>
            <color indexed="8"/>
            <rFont val="Verdana"/>
            <family val="2"/>
          </rPr>
          <t>Based on US Tax Credit.  
REN21 Renewable Policy Energy Network. 2005. "Renewables 2005 Global Status Report." Washington, DC: Worldwatch Institute</t>
        </r>
      </text>
    </comment>
    <comment ref="B9" authorId="0">
      <text>
        <r>
          <rPr>
            <b/>
            <sz val="9"/>
            <color indexed="8"/>
            <rFont val="Verdana"/>
            <family val="2"/>
          </rPr>
          <t xml:space="preserve">Computing Support Services:
</t>
        </r>
        <r>
          <rPr>
            <sz val="9"/>
            <color indexed="8"/>
            <rFont val="Verdana"/>
            <family val="2"/>
          </rPr>
          <t>Annual Report on US Wind Power Installation Cost and Performance Trends, R. Wiser, M. Bolinger, LBNL, May 2007</t>
        </r>
      </text>
    </comment>
    <comment ref="B93"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
Rewable Energy Sources, A. V. Herzog, T. E. Lipman, D. M. Kammen, Encyclopedia of Life Supporrt Systems, Forerunner Volume, part 4C. 
REN21 Renewable Policy Energy Network. 2005. "Renewables 2005 Global Status Report." Washington, DC: Worldwatch Institute.</t>
        </r>
      </text>
    </comment>
    <comment ref="G93" authorId="0">
      <text>
        <r>
          <rPr>
            <b/>
            <sz val="9"/>
            <color indexed="8"/>
            <rFont val="Verdana"/>
            <family val="2"/>
          </rPr>
          <t xml:space="preserve">Computing Support Services:
</t>
        </r>
        <r>
          <rPr>
            <sz val="9"/>
            <color indexed="8"/>
            <rFont val="Verdana"/>
            <family val="2"/>
          </rPr>
          <t xml:space="preserve">based on an 2.1%/year decrease in price adopted from grubler et al, 1999, Martin Green's talk slide
US Department of Energy Solar Energy Technologies Program, Multi-Year Technical Plan 2003-2007, January, 2004  </t>
        </r>
      </text>
    </comment>
    <comment ref="H93" authorId="0">
      <text>
        <r>
          <rPr>
            <b/>
            <sz val="9"/>
            <color indexed="8"/>
            <rFont val="Verdana"/>
            <family val="2"/>
          </rPr>
          <t xml:space="preserve">Computing Support Services:
</t>
        </r>
        <r>
          <rPr>
            <sz val="9"/>
            <color indexed="8"/>
            <rFont val="Verdana"/>
            <family val="2"/>
          </rPr>
          <t xml:space="preserve">Assessing the Costs of Electricity, D. M. Kammen, S. Pacca, Annu. Rev. Environ. Resour. 2004, 29:13.1 - 13.44
Rewable Energy Sources, A. V. Herzog, T. E. Lipman, D. M. Kammen, Encyclopedia of Life Supporrt Systems, Forerunner Volume, part 4C. </t>
        </r>
      </text>
    </comment>
    <comment ref="D93" authorId="0">
      <text>
        <r>
          <rPr>
            <b/>
            <sz val="9"/>
            <color indexed="8"/>
            <rFont val="Verdana"/>
            <family val="2"/>
          </rPr>
          <t xml:space="preserve">Computing Support Services:
</t>
        </r>
        <r>
          <rPr>
            <sz val="9"/>
            <color indexed="8"/>
            <rFont val="Verdana"/>
            <family val="2"/>
          </rPr>
          <t>Based on US Tax Credit.
REN21 Renewable Policy Energy Network. 2005. "Renewables 2005 Global Status Report." Washington, DC: Worldwatch Institute</t>
        </r>
      </text>
    </comment>
    <comment ref="B10" authorId="0">
      <text>
        <r>
          <rPr>
            <b/>
            <sz val="9"/>
            <color indexed="8"/>
            <rFont val="Verdana"/>
            <family val="2"/>
          </rPr>
          <t xml:space="preserve">Computing Support Services:
</t>
        </r>
        <r>
          <rPr>
            <sz val="9"/>
            <color indexed="8"/>
            <rFont val="Verdana"/>
            <family val="2"/>
          </rPr>
          <t>http://dnr.louisiana.gov/sec/execdiv/techasmt/newsletters/2001_2005/2005-02_topic.pdf
Comparative Cost of California Central Station Electricity Generation Technologies, M. Badr, R. Benjamin, CEC report, 100-03-001F, June 5, 2003
Rewable Energy Sources, A. V. Herzog, T. E. Lipman, D. M. Kammen, Encyclopedia of Life Supporrt Systems, Forerunner Volume, part 4C. 
REN21 Renewable Policy Energy Network. 2005. "Renewables 2005 Global Status Report." Washington, DC: Worldwatch Institute.</t>
        </r>
      </text>
    </comment>
    <comment ref="B94" authorId="0">
      <text>
        <r>
          <rPr>
            <b/>
            <sz val="9"/>
            <color indexed="8"/>
            <rFont val="Verdana"/>
            <family val="2"/>
          </rPr>
          <t xml:space="preserve">Computing Support Services:
</t>
        </r>
        <r>
          <rPr>
            <sz val="9"/>
            <color indexed="8"/>
            <rFont val="Verdana"/>
            <family val="2"/>
          </rPr>
          <t>Offshore Wave Power Feasibility Demonstration Project, R Bedard, E21 EPRI Global WP-009 - US Rev 2</t>
        </r>
      </text>
    </comment>
    <comment ref="G94" authorId="0">
      <text>
        <r>
          <rPr>
            <b/>
            <sz val="9"/>
            <color indexed="8"/>
            <rFont val="Verdana"/>
            <family val="2"/>
          </rPr>
          <t xml:space="preserve">Computing Support Services:
</t>
        </r>
        <r>
          <rPr>
            <sz val="9"/>
            <color indexed="8"/>
            <rFont val="Verdana"/>
            <family val="2"/>
          </rPr>
          <t>Offshore Wave Power Feasibility Demonstration Project, R Bedard, E21 EPRI Global WP-009 - US Rev 2</t>
        </r>
      </text>
    </comment>
    <comment ref="B95" authorId="0">
      <text>
        <r>
          <rPr>
            <b/>
            <sz val="9"/>
            <color indexed="8"/>
            <rFont val="Verdana"/>
            <family val="2"/>
          </rPr>
          <t xml:space="preserve">Computing Support Services:
</t>
        </r>
        <r>
          <rPr>
            <sz val="9"/>
            <color indexed="8"/>
            <rFont val="Verdana"/>
            <family val="2"/>
          </rPr>
          <t>US Department of Energy Solar Energy Technologies Program, Multi-Year Technical Plan 2003-2007, January, 2004  
SolFocus (Mt. View CA), Solar Systems (AUS)</t>
        </r>
      </text>
    </comment>
    <comment ref="G95" authorId="0">
      <text>
        <r>
          <rPr>
            <b/>
            <sz val="9"/>
            <color indexed="8"/>
            <rFont val="Verdana"/>
            <family val="2"/>
          </rPr>
          <t xml:space="preserve">Computing Support Services:
</t>
        </r>
        <r>
          <rPr>
            <sz val="9"/>
            <color indexed="8"/>
            <rFont val="Verdana"/>
            <family val="2"/>
          </rPr>
          <t xml:space="preserve">US Department of Energy Solar Energy Technologies Program, Multi-Year Technical Plan 2003-2007, January, 2004 </t>
        </r>
      </text>
    </comment>
    <comment ref="H95" authorId="0">
      <text>
        <r>
          <rPr>
            <b/>
            <sz val="9"/>
            <color indexed="8"/>
            <rFont val="Verdana"/>
            <family val="2"/>
          </rPr>
          <t xml:space="preserve">Computing Support Services:
</t>
        </r>
        <r>
          <rPr>
            <sz val="9"/>
            <color indexed="8"/>
            <rFont val="Verdana"/>
            <family val="2"/>
          </rPr>
          <t>Presuming that the impact is the use of space, HEPV central station facilities should have the same impact as STE.</t>
        </r>
      </text>
    </comment>
    <comment ref="B12"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C12" authorId="0">
      <text>
        <r>
          <rPr>
            <b/>
            <sz val="9"/>
            <color indexed="8"/>
            <rFont val="Arial"/>
            <family val="2"/>
          </rPr>
          <t xml:space="preserve">Computing Support Services:
</t>
        </r>
        <r>
          <rPr>
            <sz val="9"/>
            <color indexed="8"/>
            <rFont val="Arial"/>
            <family val="2"/>
          </rPr>
          <t>based on a doubling of total capacity (and a 20% reduction in costs) every 4 years.</t>
        </r>
      </text>
    </comment>
    <comment ref="D12" authorId="0">
      <text>
        <r>
          <rPr>
            <b/>
            <sz val="9"/>
            <color indexed="8"/>
            <rFont val="Arial"/>
            <family val="2"/>
          </rPr>
          <t xml:space="preserve">Computing Support Services:
</t>
        </r>
        <r>
          <rPr>
            <sz val="9"/>
            <color indexed="8"/>
            <rFont val="Arial"/>
            <family val="2"/>
          </rPr>
          <t>based on a doubling of total capacity (and a 10% reduction in costs) every 4 years.</t>
        </r>
      </text>
    </comment>
    <comment ref="B96" authorId="0">
      <text>
        <r>
          <rPr>
            <b/>
            <sz val="9"/>
            <color indexed="8"/>
            <rFont val="Verdana"/>
            <family val="2"/>
          </rPr>
          <t xml:space="preserve">Computing Support Services:
</t>
        </r>
        <r>
          <rPr>
            <sz val="9"/>
            <color indexed="8"/>
            <rFont val="Verdana"/>
            <family val="2"/>
          </rPr>
          <t>US Department of Energy Solar Energy Technologies Program, Multi-Year Technical Plan 2003-2007, January, 2004  
Comparative Cost of California Central Station Electricity Generation Technologies, M. Badr, R. Benjamin, CEC report, 100-03-001F, June 5, 2003</t>
        </r>
      </text>
    </comment>
    <comment ref="G96" authorId="0">
      <text>
        <r>
          <rPr>
            <b/>
            <sz val="9"/>
            <color indexed="8"/>
            <rFont val="Verdana"/>
            <family val="2"/>
          </rPr>
          <t xml:space="preserve">Computing Support Services:
</t>
        </r>
        <r>
          <rPr>
            <sz val="9"/>
            <color indexed="8"/>
            <rFont val="Verdana"/>
            <family val="2"/>
          </rPr>
          <t xml:space="preserve"> US Department of Energy Solar Energy Technologies Program, Multi-Year Technical Plan 2003-2007, January, 2004  </t>
        </r>
      </text>
    </comment>
    <comment ref="H96" authorId="0">
      <text>
        <r>
          <rPr>
            <b/>
            <sz val="9"/>
            <color indexed="8"/>
            <rFont val="Verdana"/>
            <family val="2"/>
          </rPr>
          <t xml:space="preserve">Computing Support Services:
</t>
        </r>
        <r>
          <rPr>
            <sz val="9"/>
            <color indexed="8"/>
            <rFont val="Verdana"/>
            <family val="2"/>
          </rPr>
          <t xml:space="preserve">only environmental impact from: Rewable Energy Sources, A. V. Herzog, T. E. Lipman, D. M. Kammen, Encyclopedia of Life Supporrt Systems, Forerunner Volume, part 4C. </t>
        </r>
      </text>
    </comment>
    <comment ref="B13"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C13" authorId="0">
      <text>
        <r>
          <rPr>
            <b/>
            <sz val="9"/>
            <color indexed="8"/>
            <rFont val="Arial"/>
            <family val="2"/>
          </rPr>
          <t xml:space="preserve">Computing Support Services:
</t>
        </r>
        <r>
          <rPr>
            <sz val="9"/>
            <color indexed="8"/>
            <rFont val="Arial"/>
            <family val="2"/>
          </rPr>
          <t>based on a doubling of total capacity (and a 20% reduction in costs) every 4 years.</t>
        </r>
      </text>
    </comment>
    <comment ref="D13" authorId="0">
      <text>
        <r>
          <rPr>
            <b/>
            <sz val="9"/>
            <color indexed="8"/>
            <rFont val="Arial"/>
            <family val="2"/>
          </rPr>
          <t xml:space="preserve">Computing Support Services:
</t>
        </r>
        <r>
          <rPr>
            <sz val="9"/>
            <color indexed="8"/>
            <rFont val="Arial"/>
            <family val="2"/>
          </rPr>
          <t>based on a doubling of total capacity (and a 10% reduction in costs) every 4 years.</t>
        </r>
      </text>
    </comment>
    <comment ref="B97" authorId="0">
      <text>
        <r>
          <rPr>
            <b/>
            <sz val="9"/>
            <color indexed="8"/>
            <rFont val="Verdana"/>
            <family val="2"/>
          </rPr>
          <t xml:space="preserve">Computing Support Services:
</t>
        </r>
        <r>
          <rPr>
            <sz val="9"/>
            <color indexed="8"/>
            <rFont val="Verdana"/>
            <family val="2"/>
          </rPr>
          <t>Comparative Cost of California Central Station Electricity Generation Technologies, M. Badr, R. Benjamin, CEC report, 100-03-001F, June 5, 2003
US Department of Energy Solar Energy Technologies Program, Multi-Year Technical Plan 2003-2007, January, 2004  
NREL "Assessment of Parabolic Trough and Power Tower Solar Technology Cost and Performance Forecasts", Sargent &amp; Lundy LLC Consulting Group Chicago, Illinois, NREL/SR-550-34440 (Oct., 2003)</t>
        </r>
      </text>
    </comment>
    <comment ref="G97" authorId="0">
      <text>
        <r>
          <rPr>
            <b/>
            <sz val="9"/>
            <color indexed="8"/>
            <rFont val="Verdana"/>
            <family val="2"/>
          </rPr>
          <t xml:space="preserve">Computing Support Services:
</t>
        </r>
        <r>
          <rPr>
            <sz val="9"/>
            <color indexed="8"/>
            <rFont val="Verdana"/>
            <family val="2"/>
          </rPr>
          <t xml:space="preserve">US Department of Energy Solar Energy Technologies Program, Multi-Year Technical Plan 2003-2007, January, 2004  
NREL "Assessment of Parabolic Trough and Power Tower Solar Technology Cost and Performance Forecasts", Sargent &amp; Lundy LLC Consulting Group Chicago, Illinois, NREL/SR-550-34440 (Oct., 2003). </t>
        </r>
      </text>
    </comment>
    <comment ref="H97" authorId="0">
      <text>
        <r>
          <rPr>
            <b/>
            <sz val="9"/>
            <color indexed="8"/>
            <rFont val="Verdana"/>
            <family val="2"/>
          </rPr>
          <t xml:space="preserve">Computing Support Services:
</t>
        </r>
        <r>
          <rPr>
            <sz val="9"/>
            <color indexed="8"/>
            <rFont val="Verdana"/>
            <family val="2"/>
          </rPr>
          <t xml:space="preserve">only environmental impact from: Rewable Energy Sources, A. V. Herzog, T. E. Lipman, D. M. Kammen, Encyclopedia of Life Supporrt Systems, Forerunner Volume, part 4C. </t>
        </r>
      </text>
    </comment>
    <comment ref="B14"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C14" authorId="0">
      <text>
        <r>
          <rPr>
            <b/>
            <sz val="9"/>
            <color indexed="8"/>
            <rFont val="Arial"/>
            <family val="2"/>
          </rPr>
          <t xml:space="preserve">Computing Support Services:
</t>
        </r>
        <r>
          <rPr>
            <sz val="9"/>
            <color indexed="8"/>
            <rFont val="Arial"/>
            <family val="2"/>
          </rPr>
          <t>based on a doubling of total capacity (and a 20% reduction in costs) every 4 years.</t>
        </r>
      </text>
    </comment>
    <comment ref="D14" authorId="0">
      <text>
        <r>
          <rPr>
            <b/>
            <sz val="9"/>
            <color indexed="8"/>
            <rFont val="Arial"/>
            <family val="2"/>
          </rPr>
          <t xml:space="preserve">Computing Support Services:
</t>
        </r>
        <r>
          <rPr>
            <sz val="9"/>
            <color indexed="8"/>
            <rFont val="Arial"/>
            <family val="2"/>
          </rPr>
          <t>based on a doubling of total capacity (and a 10% reduction in costs) every 4 years.</t>
        </r>
      </text>
    </comment>
    <comment ref="B98" authorId="0">
      <text>
        <r>
          <rPr>
            <b/>
            <sz val="9"/>
            <color indexed="8"/>
            <rFont val="Verdana"/>
            <family val="2"/>
          </rPr>
          <t xml:space="preserve">Computing Support Services:
</t>
        </r>
        <r>
          <rPr>
            <sz val="9"/>
            <color indexed="8"/>
            <rFont val="Verdana"/>
            <family val="2"/>
          </rPr>
          <t xml:space="preserve">US Department of Energy Solar Energy Technologies Program, Multi-Year Technical Plan 2003-2007, January, 2004  
NREL "Assessment of Parabolic Trough and Power Tower Solar Technology Cost and Performance Forecasts", Sargent &amp; Lundy LLC Consulting Group Chicago, Illinois, NREL/SR-550-34440 (Oct., 2003). </t>
        </r>
      </text>
    </comment>
    <comment ref="G98" authorId="0">
      <text>
        <r>
          <rPr>
            <b/>
            <sz val="9"/>
            <color indexed="8"/>
            <rFont val="Verdana"/>
            <family val="2"/>
          </rPr>
          <t xml:space="preserve">Computing Support Services:
</t>
        </r>
        <r>
          <rPr>
            <sz val="9"/>
            <color indexed="8"/>
            <rFont val="Verdana"/>
            <family val="2"/>
          </rPr>
          <t xml:space="preserve">US Department of Energy Solar Energy Technologies Program, Multi-Year Technical Plan 2003-2007, January, 2004  
 NREL "Assessment of Parabolic Trough and Power Tower Solar Technology Cost and Performance Forecasts", Sargent &amp; Lundy LLC Consulting Group Chicago, Illinois, NREL/SR-550-34440 (Oct., 2003). </t>
        </r>
      </text>
    </comment>
    <comment ref="H98" authorId="0">
      <text>
        <r>
          <rPr>
            <b/>
            <sz val="9"/>
            <color indexed="8"/>
            <rFont val="Verdana"/>
            <family val="2"/>
          </rPr>
          <t xml:space="preserve">Computing Support Services:
</t>
        </r>
        <r>
          <rPr>
            <sz val="9"/>
            <color indexed="8"/>
            <rFont val="Verdana"/>
            <family val="2"/>
          </rPr>
          <t xml:space="preserve">only environmental impact from: Rewable Energy Sources, A. V. Herzog, T. E. Lipman, D. M. Kammen, Encyclopedia of Life Supporrt Systems, Forerunner Volume, part 4C. </t>
        </r>
      </text>
    </comment>
    <comment ref="B15" authorId="0">
      <text>
        <r>
          <rPr>
            <b/>
            <sz val="9"/>
            <color indexed="8"/>
            <rFont val="Arial"/>
            <family val="2"/>
          </rPr>
          <t xml:space="preserve">Computing Support Services:
</t>
        </r>
        <r>
          <rPr>
            <sz val="9"/>
            <color indexed="8"/>
            <rFont val="Arial"/>
            <family val="2"/>
          </rPr>
          <t>I don't believe the present number for this, so I'm leaving it blank</t>
        </r>
      </text>
    </comment>
    <comment ref="C15" authorId="0">
      <text>
        <r>
          <rPr>
            <b/>
            <sz val="9"/>
            <color indexed="8"/>
            <rFont val="Arial"/>
            <family val="2"/>
          </rPr>
          <t xml:space="preserve">Computing Support Services:
</t>
        </r>
        <r>
          <rPr>
            <sz val="9"/>
            <color indexed="8"/>
            <rFont val="Arial"/>
            <family val="2"/>
          </rPr>
          <t>I don't believe the present number for this, so I'm leaving it blank</t>
        </r>
      </text>
    </comment>
    <comment ref="D15" authorId="0">
      <text>
        <r>
          <rPr>
            <b/>
            <sz val="9"/>
            <color indexed="8"/>
            <rFont val="Arial"/>
            <family val="2"/>
          </rPr>
          <t xml:space="preserve">Computing Support Services:
</t>
        </r>
        <r>
          <rPr>
            <sz val="9"/>
            <color indexed="8"/>
            <rFont val="Arial"/>
            <family val="2"/>
          </rPr>
          <t>I don't believe the present number for this, so I'm leaving it blank</t>
        </r>
      </text>
    </comment>
    <comment ref="B16" authorId="0">
      <text>
        <r>
          <rPr>
            <b/>
            <sz val="9"/>
            <color indexed="8"/>
            <rFont val="Verdana"/>
            <family val="2"/>
          </rPr>
          <t xml:space="preserve">Computing Support Services:
</t>
        </r>
        <r>
          <rPr>
            <sz val="9"/>
            <color indexed="8"/>
            <rFont val="Verdana"/>
            <family val="2"/>
          </rPr>
          <t>Comparative Cost of California Central Station Electricity Generation TechnologiesJ. Klein, A. Rednam,  CEC report, 200-2007-011-SD, June 5, 2007</t>
        </r>
      </text>
    </comment>
    <comment ref="C16" authorId="0">
      <text>
        <r>
          <rPr>
            <b/>
            <sz val="9"/>
            <color indexed="8"/>
            <rFont val="Arial"/>
            <family val="2"/>
          </rPr>
          <t xml:space="preserve">Computing Support Services:
</t>
        </r>
        <r>
          <rPr>
            <sz val="9"/>
            <color indexed="8"/>
            <rFont val="Arial"/>
            <family val="2"/>
          </rPr>
          <t>based on a doubling of total capacity (and a 20% reduction in costs) every 2 years.</t>
        </r>
      </text>
    </comment>
    <comment ref="D16" authorId="0">
      <text>
        <r>
          <rPr>
            <b/>
            <sz val="9"/>
            <color indexed="8"/>
            <rFont val="Arial"/>
            <family val="2"/>
          </rPr>
          <t xml:space="preserve">Computing Support Services:
</t>
        </r>
        <r>
          <rPr>
            <sz val="9"/>
            <color indexed="8"/>
            <rFont val="Arial"/>
            <family val="2"/>
          </rPr>
          <t>based on a doubling of total capacity (and a 10% reduction in costs) every 4 years.</t>
        </r>
      </text>
    </comment>
    <comment ref="F61" authorId="1">
      <text>
        <r>
          <rPr>
            <b/>
            <sz val="8"/>
            <rFont val="Tahoma"/>
            <family val="2"/>
          </rPr>
          <t>Physics Student:</t>
        </r>
        <r>
          <rPr>
            <sz val="8"/>
            <rFont val="Tahoma"/>
            <family val="2"/>
          </rPr>
          <t xml:space="preserve">
CEC Cost of Central Station Generation 2007 update</t>
        </r>
      </text>
    </comment>
    <comment ref="F62" authorId="1">
      <text>
        <r>
          <rPr>
            <b/>
            <sz val="8"/>
            <rFont val="Tahoma"/>
            <family val="2"/>
          </rPr>
          <t>Physics Student:</t>
        </r>
        <r>
          <rPr>
            <sz val="8"/>
            <rFont val="Tahoma"/>
            <family val="2"/>
          </rPr>
          <t xml:space="preserve">
CEC Cost of Central Station Generation 2007 update</t>
        </r>
      </text>
    </comment>
    <comment ref="F63" authorId="1">
      <text>
        <r>
          <rPr>
            <b/>
            <sz val="8"/>
            <rFont val="Tahoma"/>
            <family val="2"/>
          </rPr>
          <t>Physics Student:</t>
        </r>
        <r>
          <rPr>
            <sz val="8"/>
            <rFont val="Tahoma"/>
            <family val="2"/>
          </rPr>
          <t xml:space="preserve">
CEC Cost of Central Station Generation 2007 update</t>
        </r>
      </text>
    </comment>
    <comment ref="F64" authorId="1">
      <text>
        <r>
          <rPr>
            <b/>
            <sz val="8"/>
            <rFont val="Tahoma"/>
            <family val="2"/>
          </rPr>
          <t>Physics Student:</t>
        </r>
        <r>
          <rPr>
            <sz val="8"/>
            <rFont val="Tahoma"/>
            <family val="2"/>
          </rPr>
          <t xml:space="preserve">
CEC Cost of Central Station Generation 2007 update</t>
        </r>
      </text>
    </comment>
    <comment ref="F67" authorId="1">
      <text>
        <r>
          <rPr>
            <b/>
            <sz val="8"/>
            <rFont val="Tahoma"/>
            <family val="2"/>
          </rPr>
          <t>Physics Student:</t>
        </r>
        <r>
          <rPr>
            <sz val="8"/>
            <rFont val="Tahoma"/>
            <family val="2"/>
          </rPr>
          <t xml:space="preserve">
CEC Cost of Central Station Generation 2007 update</t>
        </r>
      </text>
    </comment>
    <comment ref="F68" authorId="1">
      <text>
        <r>
          <rPr>
            <b/>
            <sz val="8"/>
            <rFont val="Tahoma"/>
            <family val="2"/>
          </rPr>
          <t>Physics Student:</t>
        </r>
        <r>
          <rPr>
            <sz val="8"/>
            <rFont val="Tahoma"/>
            <family val="2"/>
          </rPr>
          <t xml:space="preserve">
CEC Cost of Central Station Generation 2007 update</t>
        </r>
      </text>
    </comment>
    <comment ref="F69" authorId="1">
      <text>
        <r>
          <rPr>
            <b/>
            <sz val="8"/>
            <rFont val="Tahoma"/>
            <family val="2"/>
          </rPr>
          <t>Physics Student:</t>
        </r>
        <r>
          <rPr>
            <sz val="8"/>
            <rFont val="Tahoma"/>
            <family val="2"/>
          </rPr>
          <t xml:space="preserve">
CEC Cost of Central Station Generation 2007 update</t>
        </r>
      </text>
    </comment>
    <comment ref="F70" authorId="1">
      <text>
        <r>
          <rPr>
            <b/>
            <sz val="8"/>
            <rFont val="Tahoma"/>
            <family val="2"/>
          </rPr>
          <t>Physics Student:</t>
        </r>
        <r>
          <rPr>
            <sz val="8"/>
            <rFont val="Tahoma"/>
            <family val="2"/>
          </rPr>
          <t xml:space="preserve">
CEC Cost of Central Station Generation 2007 update</t>
        </r>
      </text>
    </comment>
    <comment ref="A82" authorId="0">
      <text>
        <r>
          <rPr>
            <b/>
            <sz val="9"/>
            <color indexed="8"/>
            <rFont val="Verdana"/>
            <family val="2"/>
          </rPr>
          <t xml:space="preserve">Computing Support Services:
</t>
        </r>
        <r>
          <rPr>
            <sz val="9"/>
            <color indexed="8"/>
            <rFont val="Verdana"/>
            <family val="2"/>
          </rPr>
          <t>Biopower and Waste Conversion Technologies for Santa Barbara County, California, D. Kammen, M. Chester, R. Plevin, D. Rajagopal, Santa Barbara CEC Report</t>
        </r>
      </text>
    </comment>
    <comment ref="C3" authorId="2">
      <text>
        <r>
          <rPr>
            <b/>
            <sz val="8"/>
            <rFont val="Tahoma"/>
            <family val="2"/>
          </rPr>
          <t>Comparative Cost of California Central Station Electricity Generation TechnologiesJ. Klein, A. Rednam,  CEC report, 200-2007-011-SD, June 5, 2007</t>
        </r>
      </text>
    </comment>
    <comment ref="D3" authorId="2">
      <text>
        <r>
          <rPr>
            <b/>
            <sz val="8"/>
            <rFont val="Tahoma"/>
            <family val="2"/>
          </rPr>
          <t>Comparative Cost of California Central Station Electricity Generation TechnologiesJ. Klein, A. Rednam,  CEC report, 200-2007-011-SD, June 5, 2007</t>
        </r>
      </text>
    </comment>
    <comment ref="C4" authorId="2">
      <text>
        <r>
          <rPr>
            <b/>
            <sz val="8"/>
            <rFont val="Tahoma"/>
            <family val="2"/>
          </rPr>
          <t>Comparative Cost of California Central Station Electricity Generation TechnologiesJ. Klein, A. Rednam,  CEC report, 200-2007-011-SD, June 5, 2007</t>
        </r>
      </text>
    </comment>
    <comment ref="D4" authorId="2">
      <text>
        <r>
          <rPr>
            <b/>
            <sz val="8"/>
            <rFont val="Tahoma"/>
            <family val="2"/>
          </rPr>
          <t>Comparative Cost of California Central Station Electricity Generation TechnologiesJ. Klein, A. Rednam,  CEC report, 200-2007-011-SD, June 5, 2007</t>
        </r>
      </text>
    </comment>
    <comment ref="C7" authorId="2">
      <text>
        <r>
          <rPr>
            <b/>
            <sz val="8"/>
            <rFont val="Tahoma"/>
            <family val="2"/>
          </rPr>
          <t>Biopower and Waste Conversion Technologies for Santa Barbara County, California, D. Kammen, M. Chester, R. Plevin, D. Rajagopal, Santa Barbara CEC Report</t>
        </r>
      </text>
    </comment>
    <comment ref="D7" authorId="2">
      <text>
        <r>
          <rPr>
            <b/>
            <sz val="8"/>
            <rFont val="Tahoma"/>
            <family val="2"/>
          </rPr>
          <t>Biopower and Waste Conversion Technologies for Santa Barbara County, California, D. Kammen, M. Chester, R. Plevin, D. Rajagopal, Santa Barbara CEC Report</t>
        </r>
      </text>
    </comment>
  </commentList>
</comments>
</file>

<file path=xl/comments7.xml><?xml version="1.0" encoding="utf-8"?>
<comments xmlns="http://schemas.openxmlformats.org/spreadsheetml/2006/main">
  <authors>
    <author/>
  </authors>
  <commentList>
    <comment ref="C4" authorId="0">
      <text>
        <r>
          <rPr>
            <b/>
            <sz val="8"/>
            <color indexed="8"/>
            <rFont val="DejaVu Sans"/>
            <family val="1"/>
          </rPr>
          <t xml:space="preserve">Margaret:
</t>
        </r>
        <r>
          <rPr>
            <sz val="8"/>
            <color indexed="8"/>
            <rFont val="DejaVu Sans"/>
            <family val="1"/>
          </rPr>
          <t xml:space="preserve">Assumes 1027 Btu per cubic foot (EIA Annual Energy Review 2002)
</t>
        </r>
      </text>
    </comment>
    <comment ref="J4" authorId="0">
      <text>
        <r>
          <rPr>
            <b/>
            <sz val="8"/>
            <color indexed="8"/>
            <rFont val="DejaVu Sans"/>
            <family val="1"/>
          </rPr>
          <t xml:space="preserve">Margaret:
</t>
        </r>
        <r>
          <rPr>
            <sz val="8"/>
            <color indexed="8"/>
            <rFont val="DejaVu Sans"/>
            <family val="1"/>
          </rPr>
          <t xml:space="preserve">Assumes 1027 Btu per cubic foot (EIA Annual Energy Review 2002)
</t>
        </r>
      </text>
    </comment>
    <comment ref="I16" authorId="0">
      <text>
        <r>
          <rPr>
            <b/>
            <sz val="9"/>
            <color indexed="8"/>
            <rFont val="DejaVu Sans"/>
            <family val="1"/>
          </rPr>
          <t xml:space="preserve">Tam Hunt:
</t>
        </r>
        <r>
          <rPr>
            <sz val="9"/>
            <color indexed="8"/>
            <rFont val="DejaVu Sans"/>
            <family val="1"/>
          </rPr>
          <t xml:space="preserve">Assumed
</t>
        </r>
      </text>
    </comment>
    <comment ref="I22" authorId="0">
      <text>
        <r>
          <rPr>
            <b/>
            <sz val="9"/>
            <color indexed="8"/>
            <rFont val="DejaVu Sans"/>
            <family val="1"/>
          </rPr>
          <t xml:space="preserve">Tam Hunt:
</t>
        </r>
        <r>
          <rPr>
            <sz val="9"/>
            <color indexed="8"/>
            <rFont val="DejaVu Sans"/>
            <family val="1"/>
          </rPr>
          <t xml:space="preserve">Assumed
</t>
        </r>
      </text>
    </comment>
    <comment ref="C58" authorId="0">
      <text>
        <r>
          <rPr>
            <b/>
            <sz val="8"/>
            <color indexed="8"/>
            <rFont val="DejaVu Sans"/>
            <family val="1"/>
          </rPr>
          <t xml:space="preserve">Margaret:
</t>
        </r>
        <r>
          <rPr>
            <sz val="8"/>
            <color indexed="8"/>
            <rFont val="DejaVu Sans"/>
            <family val="1"/>
          </rPr>
          <t>100ll.com KSBA Mercury Air Center 5-15-07</t>
        </r>
      </text>
    </comment>
    <comment ref="J58" authorId="0">
      <text>
        <r>
          <rPr>
            <b/>
            <sz val="8"/>
            <color indexed="8"/>
            <rFont val="DejaVu Sans"/>
            <family val="1"/>
          </rPr>
          <t xml:space="preserve">Margaret:
</t>
        </r>
        <r>
          <rPr>
            <sz val="8"/>
            <color indexed="8"/>
            <rFont val="DejaVu Sans"/>
            <family val="1"/>
          </rPr>
          <t>100ll.com KSBA Mercury Air Center 5-15-07</t>
        </r>
      </text>
    </comment>
    <comment ref="C59" authorId="0">
      <text>
        <r>
          <rPr>
            <b/>
            <sz val="8"/>
            <color indexed="8"/>
            <rFont val="DejaVu Sans"/>
            <family val="1"/>
          </rPr>
          <t xml:space="preserve">Margaret:
</t>
        </r>
        <r>
          <rPr>
            <sz val="8"/>
            <color indexed="8"/>
            <rFont val="DejaVu Sans"/>
            <family val="1"/>
          </rPr>
          <t xml:space="preserve">Assume same price esclation as gasoline (from Tam)
</t>
        </r>
      </text>
    </comment>
    <comment ref="J59" authorId="0">
      <text>
        <r>
          <rPr>
            <b/>
            <sz val="8"/>
            <color indexed="8"/>
            <rFont val="DejaVu Sans"/>
            <family val="1"/>
          </rPr>
          <t xml:space="preserve">Margaret:
</t>
        </r>
        <r>
          <rPr>
            <sz val="8"/>
            <color indexed="8"/>
            <rFont val="DejaVu Sans"/>
            <family val="1"/>
          </rPr>
          <t xml:space="preserve">Assume
</t>
        </r>
      </text>
    </comment>
    <comment ref="C62" authorId="0">
      <text>
        <r>
          <rPr>
            <b/>
            <sz val="8"/>
            <color indexed="8"/>
            <rFont val="DejaVu Sans"/>
            <family val="1"/>
          </rPr>
          <t xml:space="preserve">Margaret:
</t>
        </r>
        <r>
          <rPr>
            <sz val="8"/>
            <color indexed="8"/>
            <rFont val="DejaVu Sans"/>
            <family val="1"/>
          </rPr>
          <t xml:space="preserve">100ll.com KSBA Mercury Air Center 5-15-07
</t>
        </r>
      </text>
    </comment>
    <comment ref="J62" authorId="0">
      <text>
        <r>
          <rPr>
            <b/>
            <sz val="8"/>
            <color indexed="8"/>
            <rFont val="DejaVu Sans"/>
            <family val="1"/>
          </rPr>
          <t xml:space="preserve">Margaret:
</t>
        </r>
        <r>
          <rPr>
            <sz val="8"/>
            <color indexed="8"/>
            <rFont val="DejaVu Sans"/>
            <family val="1"/>
          </rPr>
          <t xml:space="preserve">100ll.com KSBA Mercury Air Center 5-15-07
</t>
        </r>
      </text>
    </comment>
    <comment ref="C64" authorId="0">
      <text>
        <r>
          <rPr>
            <b/>
            <sz val="8"/>
            <color indexed="8"/>
            <rFont val="DejaVu Sans"/>
            <family val="1"/>
          </rPr>
          <t xml:space="preserve">Margaret:
</t>
        </r>
        <r>
          <rPr>
            <sz val="8"/>
            <color indexed="8"/>
            <rFont val="DejaVu Sans"/>
            <family val="1"/>
          </rPr>
          <t xml:space="preserve">Assume same price escalation as gasoline (from Tam)
</t>
        </r>
      </text>
    </comment>
    <comment ref="J64" authorId="0">
      <text>
        <r>
          <rPr>
            <b/>
            <sz val="8"/>
            <color indexed="8"/>
            <rFont val="DejaVu Sans"/>
            <family val="1"/>
          </rPr>
          <t xml:space="preserve">Margaret:
</t>
        </r>
        <r>
          <rPr>
            <sz val="8"/>
            <color indexed="8"/>
            <rFont val="DejaVu Sans"/>
            <family val="1"/>
          </rPr>
          <t xml:space="preserve">Assume
</t>
        </r>
      </text>
    </comment>
    <comment ref="D68" authorId="0">
      <text>
        <r>
          <rPr>
            <b/>
            <sz val="8"/>
            <color indexed="8"/>
            <rFont val="DejaVu Sans"/>
            <family val="1"/>
          </rPr>
          <t xml:space="preserve">Margaret:
</t>
        </r>
        <r>
          <rPr>
            <sz val="8"/>
            <color indexed="8"/>
            <rFont val="DejaVu Sans"/>
            <family val="1"/>
          </rPr>
          <t xml:space="preserve">Assume
</t>
        </r>
      </text>
    </comment>
    <comment ref="D71" authorId="0">
      <text>
        <r>
          <rPr>
            <b/>
            <sz val="8"/>
            <color indexed="8"/>
            <rFont val="DejaVu Sans"/>
            <family val="1"/>
          </rPr>
          <t xml:space="preserve">Margaret:
</t>
        </r>
        <r>
          <rPr>
            <sz val="8"/>
            <color indexed="8"/>
            <rFont val="DejaVu Sans"/>
            <family val="1"/>
          </rPr>
          <t xml:space="preserve">100ll.com KSBA Mercury Air Center 5-15-07
</t>
        </r>
      </text>
    </comment>
    <comment ref="D72" authorId="0">
      <text>
        <r>
          <rPr>
            <b/>
            <sz val="8"/>
            <color indexed="8"/>
            <rFont val="DejaVu Sans"/>
            <family val="1"/>
          </rPr>
          <t xml:space="preserve">Margaret:
</t>
        </r>
        <r>
          <rPr>
            <sz val="8"/>
            <color indexed="8"/>
            <rFont val="DejaVu Sans"/>
            <family val="1"/>
          </rPr>
          <t xml:space="preserve">Assume
</t>
        </r>
      </text>
    </comment>
  </commentList>
</comments>
</file>

<file path=xl/comments8.xml><?xml version="1.0" encoding="utf-8"?>
<comments xmlns="http://schemas.openxmlformats.org/spreadsheetml/2006/main">
  <authors>
    <author/>
  </authors>
  <commentList>
    <comment ref="C37" authorId="0">
      <text>
        <r>
          <rPr>
            <b/>
            <sz val="8"/>
            <color indexed="8"/>
            <rFont val="DejaVu Sans"/>
            <family val="1"/>
          </rPr>
          <t xml:space="preserve">Tam Hunt:
</t>
        </r>
        <r>
          <rPr>
            <sz val="8"/>
            <color indexed="8"/>
            <rFont val="DejaVu Sans"/>
            <family val="1"/>
          </rPr>
          <t xml:space="preserve">A 2001 CEC forecast for transportation fuel demand in CA found a 3% annual growth rate for jet fuel, so this number is bumped up 1% to reflect the addition of a larger airport in SB
</t>
        </r>
      </text>
    </comment>
  </commentList>
</comments>
</file>

<file path=xl/sharedStrings.xml><?xml version="1.0" encoding="utf-8"?>
<sst xmlns="http://schemas.openxmlformats.org/spreadsheetml/2006/main" count="924" uniqueCount="522">
  <si>
    <t>Total Auto Pr3mium</t>
  </si>
  <si>
    <t>This table is for determining the increase in price of renewable energy due to the increase in price of fossil fuels in the embodied energy of the renewable energy hardware.  This feature is not invoked at present, the embodied energy for each is set to zero.</t>
  </si>
  <si>
    <t>=</t>
  </si>
  <si>
    <t>BTU</t>
  </si>
  <si>
    <t>Therm</t>
  </si>
  <si>
    <t>Adjusted for increase in FF price</t>
  </si>
  <si>
    <t>Premium sold this year</t>
  </si>
  <si>
    <t>HFCV Price/yr</t>
  </si>
  <si>
    <t>Geothermal</t>
  </si>
  <si>
    <t>Small hydro</t>
  </si>
  <si>
    <t>Solar</t>
  </si>
  <si>
    <t xml:space="preserve">Wind </t>
  </si>
  <si>
    <t>Coal</t>
  </si>
  <si>
    <t>Large hydro</t>
  </si>
  <si>
    <t>Nuclear</t>
  </si>
  <si>
    <t>GWh</t>
  </si>
  <si>
    <t>costs ($million)</t>
  </si>
  <si>
    <t>Diesel</t>
  </si>
  <si>
    <t>Aviation fuel</t>
  </si>
  <si>
    <t>Auto Premium</t>
  </si>
  <si>
    <t>Conserv+SHW</t>
  </si>
  <si>
    <t xml:space="preserve">Variability Mitigation </t>
  </si>
  <si>
    <t>Grand total</t>
  </si>
  <si>
    <t>per person</t>
  </si>
  <si>
    <t>BAU 2020</t>
  </si>
  <si>
    <t>BAU 2030</t>
  </si>
  <si>
    <t>FF33 2020</t>
  </si>
  <si>
    <t>FF33 2030</t>
  </si>
  <si>
    <t>Saved $ 2020</t>
  </si>
  <si>
    <t>2020 variability mitigation</t>
  </si>
  <si>
    <t>$/kWh</t>
  </si>
  <si>
    <t>Saved $ 2030</t>
  </si>
  <si>
    <t>2030 variability mitigation</t>
  </si>
  <si>
    <t>Carbon Offsets</t>
  </si>
  <si>
    <t>Extra Electricity</t>
  </si>
  <si>
    <t>TWh</t>
  </si>
  <si>
    <t>Gasoline Use in Santa Barbara County*</t>
  </si>
  <si>
    <t>Diesel Use in Santa Barbara County*</t>
  </si>
  <si>
    <t>Aviation Fuel Use in SBC*</t>
  </si>
  <si>
    <t>Natural Gas Use in Santa Barbara County*</t>
  </si>
  <si>
    <t>Electricity Use in Santa Barbara County*</t>
  </si>
  <si>
    <t>Millions of gallons</t>
  </si>
  <si>
    <t>Million therms</t>
  </si>
  <si>
    <t>Energy total in SBC in 2005</t>
  </si>
  <si>
    <t>Energy total in 2030</t>
  </si>
  <si>
    <t>5 yr growth rate</t>
  </si>
  <si>
    <t>Energy total in SB in 2020</t>
  </si>
  <si>
    <t>Average 5 year growth (2000 to 2025)</t>
  </si>
  <si>
    <t>Technology</t>
  </si>
  <si>
    <t>Onshore Wind</t>
  </si>
  <si>
    <t>Offshore Wind</t>
  </si>
  <si>
    <t>Passive Solar</t>
  </si>
  <si>
    <t>Solar PV</t>
  </si>
  <si>
    <t>Solar Hot Water</t>
  </si>
  <si>
    <t>Concentrating Solar</t>
  </si>
  <si>
    <t>Wave Energy</t>
  </si>
  <si>
    <t>Waste to Energy</t>
  </si>
  <si>
    <t>Utility Renewables</t>
  </si>
  <si>
    <t>Total</t>
  </si>
  <si>
    <t>SB</t>
  </si>
  <si>
    <t>SLO</t>
  </si>
  <si>
    <t>Ventura</t>
  </si>
  <si>
    <t>Building Efficiency</t>
  </si>
  <si>
    <t>TWh/y</t>
  </si>
  <si>
    <t>2005 Electricity Sectors</t>
  </si>
  <si>
    <t>2005 NG Sectors</t>
  </si>
  <si>
    <t>Efficiency</t>
  </si>
  <si>
    <t>Residential</t>
  </si>
  <si>
    <t>Commercial</t>
  </si>
  <si>
    <t>NG storage water heater</t>
  </si>
  <si>
    <t>Gasoline</t>
  </si>
  <si>
    <t>Industrial</t>
  </si>
  <si>
    <t>NG</t>
  </si>
  <si>
    <t>County area</t>
  </si>
  <si>
    <t>Square miles</t>
  </si>
  <si>
    <t>Acres</t>
  </si>
  <si>
    <t>SB County Energy Demand (TWh)</t>
  </si>
  <si>
    <t>BAU</t>
  </si>
  <si>
    <t>FF33</t>
  </si>
  <si>
    <t>Electricity</t>
  </si>
  <si>
    <t>?</t>
  </si>
  <si>
    <t>Natural gas</t>
  </si>
  <si>
    <t>Millions of kWh</t>
  </si>
  <si>
    <t>Gasoline Use in San Luis Obispo County</t>
  </si>
  <si>
    <t>Diesel Use in San Luis Obispo County</t>
  </si>
  <si>
    <t>Gasoline (2007 ¢/kWh)</t>
  </si>
  <si>
    <t>Natural Gas (Retail)</t>
  </si>
  <si>
    <t>Diesel (2000 ¢/gallon)</t>
  </si>
  <si>
    <t>Gasoline (per gallon)</t>
  </si>
  <si>
    <t>Aviation Fuel Use in SLOC</t>
  </si>
  <si>
    <t>Energy total in SLO in 2020</t>
  </si>
  <si>
    <t>Total Electricity Use</t>
  </si>
  <si>
    <t>Elec.</t>
  </si>
  <si>
    <t>G &amp; D</t>
  </si>
  <si>
    <t>Aviation</t>
  </si>
  <si>
    <t>10% reduction in NG and G&amp;D</t>
  </si>
  <si>
    <t>50% reduction in NG and G&amp;D</t>
  </si>
  <si>
    <t>Total SB County energy use in 2004</t>
  </si>
  <si>
    <t>Total SB County energy use in 2010</t>
  </si>
  <si>
    <t>P + D (millions of kWh)</t>
  </si>
  <si>
    <t>Total SB County energy use in 2020</t>
  </si>
  <si>
    <t xml:space="preserve">Diesel </t>
  </si>
  <si>
    <t>Biodiesel</t>
  </si>
  <si>
    <t>Ethanol</t>
  </si>
  <si>
    <t>BAU Gasoline Use in Santa Barbara County* including upstream use</t>
  </si>
  <si>
    <t>BAU Diesel Use in Santa Barbara County* including upstream use</t>
  </si>
  <si>
    <t>BAU Aviation Fuel Use in SBC* including upstream use</t>
  </si>
  <si>
    <t>kWh/Gal</t>
  </si>
  <si>
    <t>GWh/million Therms</t>
  </si>
  <si>
    <t>upstream ratio</t>
  </si>
  <si>
    <t>LCA extraction</t>
  </si>
  <si>
    <t>consumption</t>
  </si>
  <si>
    <t>Gasoline 2020 Projections</t>
  </si>
  <si>
    <t>Gasoline 2030 Projections</t>
  </si>
  <si>
    <t>2020 scenarios</t>
  </si>
  <si>
    <t>Reductions by 2020 (mgpy)</t>
  </si>
  <si>
    <t>% reductions alone</t>
  </si>
  <si>
    <t>Petroleum GWh reduction</t>
  </si>
  <si>
    <t>Total gasoline reduction</t>
  </si>
  <si>
    <t>2030 scenarios</t>
  </si>
  <si>
    <t>Reductions by 2030 (mgpy)</t>
  </si>
  <si>
    <t xml:space="preserve">Petroleum GWh reduction </t>
  </si>
  <si>
    <t xml:space="preserve">Total gasoline reduction </t>
  </si>
  <si>
    <t>humans</t>
  </si>
  <si>
    <t>With Increased efficiency</t>
  </si>
  <si>
    <t>Renewable Electricity Available</t>
  </si>
  <si>
    <t>Natural Gas</t>
  </si>
  <si>
    <t>With Solar Heat Substitution</t>
  </si>
  <si>
    <t>2010 BAU</t>
  </si>
  <si>
    <t>2020 BAU</t>
  </si>
  <si>
    <t>2030 BAU</t>
  </si>
  <si>
    <t>Biomass, waste</t>
  </si>
  <si>
    <t>Increased need of electricity</t>
  </si>
  <si>
    <t>portion of 2005 Electricty use</t>
  </si>
  <si>
    <t>HFCV Sales</t>
  </si>
  <si>
    <t>HFCV premium</t>
  </si>
  <si>
    <t>2007 fleet mileage</t>
  </si>
  <si>
    <t>2007 EV Penetration</t>
  </si>
  <si>
    <t>2020 fleet mileage</t>
  </si>
  <si>
    <t>2020 EV Penetration</t>
  </si>
  <si>
    <t>HFCV Total Premium per year</t>
  </si>
  <si>
    <t>2030 fleet mileage</t>
  </si>
  <si>
    <t>2030 EV Penetration</t>
  </si>
  <si>
    <t>Electric Sales</t>
  </si>
  <si>
    <t>(Diesel - ICE) efficiency</t>
  </si>
  <si>
    <t>Line Transmission Efficiency</t>
  </si>
  <si>
    <t>Transportation fuels</t>
  </si>
  <si>
    <t>High Peak</t>
  </si>
  <si>
    <t>Low Peak</t>
  </si>
  <si>
    <t>High Peak Surplus</t>
  </si>
  <si>
    <t>Low Peak Surplus</t>
  </si>
  <si>
    <t>Electricity Bill</t>
  </si>
  <si>
    <t xml:space="preserve">base = </t>
  </si>
  <si>
    <t>low peak</t>
  </si>
  <si>
    <t>Ethanol - EVs and PHEVs</t>
  </si>
  <si>
    <t xml:space="preserve">Electricity - EVs and PHEVs </t>
  </si>
  <si>
    <t>100LL AvGas</t>
  </si>
  <si>
    <t>gallons</t>
  </si>
  <si>
    <t>Jet A</t>
  </si>
  <si>
    <t>$/Mbtu</t>
  </si>
  <si>
    <t>high peak</t>
  </si>
  <si>
    <t>fuel cell/ICE efficiency</t>
  </si>
  <si>
    <t>SB electricity consupmtion (GWh/y)</t>
  </si>
  <si>
    <t>Electrical Charging Efficiency</t>
  </si>
  <si>
    <t>Electric cars sold</t>
  </si>
  <si>
    <t>LCA ICE/Electric efficiency</t>
  </si>
  <si>
    <t>2030 Unrenewable electricity Ratio</t>
  </si>
  <si>
    <t>NGCC electrical production efficiency</t>
  </si>
  <si>
    <t>W2W ICE / Electrical Efficiency Ratio</t>
  </si>
  <si>
    <t>fuel cell/ diesel efficiency</t>
  </si>
  <si>
    <t>W2W Diesel / Electrical Efficiency Ratio</t>
  </si>
  <si>
    <t>Battery lifetime (yrs)</t>
  </si>
  <si>
    <t>premium/ yr / MY</t>
  </si>
  <si>
    <t>Disregard below as Hydrogen for FC will be manufactured with wind electricity</t>
  </si>
  <si>
    <t>Increased Natural Gas use</t>
  </si>
  <si>
    <t>GWh/y</t>
  </si>
  <si>
    <t>million Therms</t>
  </si>
  <si>
    <t>Direct Levelized 2005 cost ¢/kWh</t>
  </si>
  <si>
    <t>2020 projected cost</t>
  </si>
  <si>
    <t>Cost of Externalities</t>
  </si>
  <si>
    <t>2005 cost with Externalities</t>
  </si>
  <si>
    <t>2020 projected cost with externalities</t>
  </si>
  <si>
    <t>2007 cost</t>
  </si>
  <si>
    <t>2020 cost</t>
  </si>
  <si>
    <t>2030 cost</t>
  </si>
  <si>
    <t>Reference case prices from UCSB Forecast Report , V2</t>
  </si>
  <si>
    <t>High case prices from UCSB Forecast Report , V2</t>
  </si>
  <si>
    <t>* 2006 MVSTAFF report</t>
  </si>
  <si>
    <t>*APCD</t>
  </si>
  <si>
    <t>*CA Energy Commission, Andrea Gough supplied information upon request</t>
  </si>
  <si>
    <t>Building sector energy use (millions of therms)</t>
  </si>
  <si>
    <t>Building sector elec. Use</t>
  </si>
  <si>
    <t>Building sector in GWh</t>
  </si>
  <si>
    <t>Gasoline Use in Ventura County</t>
  </si>
  <si>
    <t>Diesel Use in Ventura County</t>
  </si>
  <si>
    <t>Aviation Fuel Use in VC</t>
  </si>
  <si>
    <t>Natural Gas Use in Ventura County</t>
  </si>
  <si>
    <t>Electricity Use in Ventura County</t>
  </si>
  <si>
    <t>Energy total in VC in 2004</t>
  </si>
  <si>
    <t>Energy total in VC in 2020</t>
  </si>
  <si>
    <t>less than 2005 prices</t>
  </si>
  <si>
    <t>NG(2000 ¢/tcf)</t>
  </si>
  <si>
    <t>Hardware</t>
  </si>
  <si>
    <t>Coal turbine</t>
  </si>
  <si>
    <t>3-4.2</t>
  </si>
  <si>
    <t>8-50</t>
  </si>
  <si>
    <t>11-54.2</t>
  </si>
  <si>
    <t>NG(2007 ¢/tcf)</t>
  </si>
  <si>
    <t>Nukes</t>
  </si>
  <si>
    <t>Coal IGCC</t>
  </si>
  <si>
    <t>11.5-53.5</t>
  </si>
  <si>
    <t>NG(2007 ¢/kWh)</t>
  </si>
  <si>
    <t>IGCC CCS</t>
  </si>
  <si>
    <t>5-5.5</t>
  </si>
  <si>
    <t>1-5</t>
  </si>
  <si>
    <t>6-10.5</t>
  </si>
  <si>
    <t>6. - 10</t>
  </si>
  <si>
    <t>Gasoline (2000 ¢/gallon)</t>
  </si>
  <si>
    <t>gasoline c/kWhr</t>
  </si>
  <si>
    <t>in progress</t>
  </si>
  <si>
    <t>Gasoline (2007 ¢/gallon)</t>
  </si>
  <si>
    <t>Natural Gas (Wholesale)</t>
  </si>
  <si>
    <t>MJ/Gal</t>
  </si>
  <si>
    <t>kWh/gallon</t>
  </si>
  <si>
    <t>PHEV Sales</t>
  </si>
  <si>
    <t>PHEVcars sold</t>
  </si>
  <si>
    <t>PHEV Primium</t>
  </si>
  <si>
    <t>PHEV premium/ yr / MY</t>
  </si>
  <si>
    <t>Total EV premium</t>
  </si>
  <si>
    <t>Natural Gas Use in San Luis Obispo County</t>
  </si>
  <si>
    <t>Electricity Use in San Luis Obispo County</t>
  </si>
  <si>
    <t>Energy total in SLO in 2004</t>
  </si>
  <si>
    <t>Diesel (2007 ¢/gallon)</t>
  </si>
  <si>
    <t>Diesel (2007 ¢/kWh)</t>
  </si>
  <si>
    <t>Jet Fuel (2007 ¢/gal)</t>
  </si>
  <si>
    <t>0-6</t>
  </si>
  <si>
    <t>6.5-12.5</t>
  </si>
  <si>
    <t>Jet Fuel (2007 ¢/kWh)</t>
  </si>
  <si>
    <t>Distr. Generation</t>
  </si>
  <si>
    <t>Fuel Cells  (4 kinds)</t>
  </si>
  <si>
    <t>Total Gasoline Use</t>
  </si>
  <si>
    <t>Total Diesel Use</t>
  </si>
  <si>
    <t>Total Aviation Fuel Use</t>
  </si>
  <si>
    <t>Total Natural Gas Use</t>
  </si>
  <si>
    <t>Cost cons Electricy</t>
  </si>
  <si>
    <t>Cost cons NG</t>
  </si>
  <si>
    <t>Renewables</t>
  </si>
  <si>
    <t>small hydro</t>
  </si>
  <si>
    <t>Hydro</t>
  </si>
  <si>
    <t>variable</t>
  </si>
  <si>
    <t>Biomass landfill gas</t>
  </si>
  <si>
    <t>Biomass Gasification</t>
  </si>
  <si>
    <t>1.5-5</t>
  </si>
  <si>
    <t>1.9?</t>
  </si>
  <si>
    <t>8-13</t>
  </si>
  <si>
    <t>6.1-11.1</t>
  </si>
  <si>
    <t>MSW Gasification</t>
  </si>
  <si>
    <t>13-18</t>
  </si>
  <si>
    <t>11.1-16.1</t>
  </si>
  <si>
    <t>4.5-7.4</t>
  </si>
  <si>
    <t>5-7.9</t>
  </si>
  <si>
    <t>3.1-6</t>
  </si>
  <si>
    <t>Wind onshore</t>
  </si>
  <si>
    <t>4-6</t>
  </si>
  <si>
    <t>2.9-4.4</t>
  </si>
  <si>
    <t>.5-2</t>
  </si>
  <si>
    <t>4.5-8</t>
  </si>
  <si>
    <t>2.6-6.1</t>
  </si>
  <si>
    <t>3.4-6.4</t>
  </si>
  <si>
    <t>Wind offshore</t>
  </si>
  <si>
    <t>4-10</t>
  </si>
  <si>
    <t>2.9-7.3</t>
  </si>
  <si>
    <t>3.5-12</t>
  </si>
  <si>
    <t>2.6-10.1</t>
  </si>
  <si>
    <t>3.4-9.3</t>
  </si>
  <si>
    <t xml:space="preserve">Wave Energy </t>
  </si>
  <si>
    <t>9-11</t>
  </si>
  <si>
    <t>7.1-9.1</t>
  </si>
  <si>
    <t>High efficiency PV</t>
  </si>
  <si>
    <t>25-40</t>
  </si>
  <si>
    <t>26.5-41.5</t>
  </si>
  <si>
    <t>24.6-39.6</t>
  </si>
  <si>
    <t>5.5-7.5</t>
  </si>
  <si>
    <t>STE Dish</t>
  </si>
  <si>
    <t>15-33</t>
  </si>
  <si>
    <t>8.4-9.2</t>
  </si>
  <si>
    <t>16.5-34.5</t>
  </si>
  <si>
    <t>14.6-32.6</t>
  </si>
  <si>
    <t>STE trough</t>
  </si>
  <si>
    <t>8-18.6</t>
  </si>
  <si>
    <t>2.5-5.9</t>
  </si>
  <si>
    <t>9.5-20.1</t>
  </si>
  <si>
    <t>7.6-18.2</t>
  </si>
  <si>
    <t>6.5-7.3</t>
  </si>
  <si>
    <t>STE Tower</t>
  </si>
  <si>
    <t>8-11</t>
  </si>
  <si>
    <t>3.5-6.2</t>
  </si>
  <si>
    <t>9.5-13.5</t>
  </si>
  <si>
    <t>7.6-11.6</t>
  </si>
  <si>
    <t>4.9-5.5</t>
  </si>
  <si>
    <t>Roof top 1 sun PV</t>
  </si>
  <si>
    <t>Solar heated water (cents/therm)</t>
  </si>
  <si>
    <t>Solar heated water (cents/kWh)</t>
  </si>
  <si>
    <t>Totals</t>
  </si>
  <si>
    <t>Diesel 2020 Projections</t>
  </si>
  <si>
    <t>Diesel 2030 Projections</t>
  </si>
  <si>
    <t>Diesel GWh reduction</t>
  </si>
  <si>
    <t>Total diesel reduction</t>
  </si>
  <si>
    <t>year</t>
  </si>
  <si>
    <t>pop</t>
  </si>
  <si>
    <t>slope</t>
  </si>
  <si>
    <t>Electric car lifetime =</t>
  </si>
  <si>
    <t>years</t>
  </si>
  <si>
    <t>Total reduction in fuel energy</t>
  </si>
  <si>
    <t>GWh/y, or</t>
  </si>
  <si>
    <t>portion of total fuel budget</t>
  </si>
  <si>
    <t>Car sales</t>
  </si>
  <si>
    <t>Petroleum</t>
  </si>
  <si>
    <t>NG Simple</t>
  </si>
  <si>
    <t>energy</t>
  </si>
  <si>
    <t>MJ/KWh</t>
  </si>
  <si>
    <t>Coal Tirbine</t>
  </si>
  <si>
    <t>NG, 1 CF =</t>
  </si>
  <si>
    <t>kWh</t>
  </si>
  <si>
    <t>Transmission</t>
  </si>
  <si>
    <t>Inflation 2007/2000 =</t>
  </si>
  <si>
    <t xml:space="preserve">Diesel energy density </t>
  </si>
  <si>
    <t>kWh/l</t>
  </si>
  <si>
    <t>Gasoline energy density</t>
  </si>
  <si>
    <t>Diesel:</t>
  </si>
  <si>
    <t>Transportation</t>
  </si>
  <si>
    <t>FFB30</t>
  </si>
  <si>
    <t>tcf</t>
  </si>
  <si>
    <t>$/tcf</t>
  </si>
  <si>
    <t>Total Cost</t>
  </si>
  <si>
    <t>mpg</t>
  </si>
  <si>
    <t>$/g</t>
  </si>
  <si>
    <t>$ per vehicle mile</t>
  </si>
  <si>
    <t>Gasoline - Hybrid</t>
  </si>
  <si>
    <t>Ethanol - Hybrid</t>
  </si>
  <si>
    <t xml:space="preserve">Gasoline - EVs and PHEVs </t>
  </si>
  <si>
    <t>Effect of  increase in diesel use</t>
  </si>
  <si>
    <t xml:space="preserve">Effect of FCV </t>
  </si>
  <si>
    <t>Effect of  Ethanol in Gasoline</t>
  </si>
  <si>
    <t xml:space="preserve">Effect of MPG CAFÉ/AB 1493 </t>
  </si>
  <si>
    <t>Airplane Fuel Usage in SBC</t>
  </si>
  <si>
    <t>Electrolysis efficiency</t>
  </si>
  <si>
    <t>Fuel Cell efficiency</t>
  </si>
  <si>
    <t>Electric Motor efficiency</t>
  </si>
  <si>
    <t>ICE efficiency</t>
  </si>
  <si>
    <t>Effect of EV sales</t>
  </si>
  <si>
    <t>Effect of  FCV sales</t>
  </si>
  <si>
    <t>Effect of FCV sales</t>
  </si>
  <si>
    <t>Effect of  B100 use</t>
  </si>
  <si>
    <t>%PHEV travel on electricity</t>
  </si>
  <si>
    <t>% of industrial  that is Building</t>
  </si>
  <si>
    <t>LCA Diesel / Electric efficiency</t>
  </si>
  <si>
    <t xml:space="preserve">Ethanol / Input Energy </t>
  </si>
  <si>
    <t>2020 Unrenewable electricity Ratio</t>
  </si>
  <si>
    <t>Aviation Gas (gallons)</t>
  </si>
  <si>
    <t xml:space="preserve">kWh equiv. </t>
  </si>
  <si>
    <t>Jet A fuel (gallons)</t>
  </si>
  <si>
    <t>Total gallons</t>
  </si>
  <si>
    <t>Total kWh</t>
  </si>
  <si>
    <t>projected data based on average 4% growth rate</t>
  </si>
  <si>
    <t>Electric premium</t>
  </si>
  <si>
    <t>2005 subsidy of RE</t>
  </si>
  <si>
    <t>2005 cost + Externalities and subsidies of RE</t>
  </si>
  <si>
    <t>4-6)</t>
  </si>
  <si>
    <t>5-7)</t>
  </si>
  <si>
    <t>2020 cost with fossil fuel trends</t>
  </si>
  <si>
    <t>Population 2020</t>
  </si>
  <si>
    <t>Population 2030</t>
  </si>
  <si>
    <t>Low case prices from UCSB Forecast Report , V2</t>
  </si>
  <si>
    <t>Expected price increase</t>
  </si>
  <si>
    <t>fuel</t>
  </si>
  <si>
    <t>Electricity Price increase</t>
  </si>
  <si>
    <t>Fossil Fuels</t>
  </si>
  <si>
    <t>NGCC</t>
  </si>
  <si>
    <t>4.8-5.2</t>
  </si>
  <si>
    <t>5.7-6.1</t>
  </si>
  <si>
    <t>7-26</t>
  </si>
  <si>
    <t>11.8-31.2</t>
  </si>
  <si>
    <t>electricity (2000 ¢/kWh)</t>
  </si>
  <si>
    <t>NG simple cycle</t>
  </si>
  <si>
    <t>7-15.7</t>
  </si>
  <si>
    <t>8.3-18.6</t>
  </si>
  <si>
    <t>7-11</t>
  </si>
  <si>
    <t>14-26.7</t>
  </si>
  <si>
    <t>15-29.6</t>
  </si>
  <si>
    <t>electricity (2007 ¢/kWh)</t>
  </si>
  <si>
    <t>NG microturbine</t>
  </si>
  <si>
    <t>11-17</t>
  </si>
  <si>
    <t>7-28</t>
  </si>
  <si>
    <t xml:space="preserve">18-45   </t>
  </si>
  <si>
    <t>Retail/bussbar</t>
  </si>
  <si>
    <t>Total Energy Needed for Transportation in 2020</t>
  </si>
  <si>
    <t>2030 Energy Mix</t>
  </si>
  <si>
    <t>2005 Energy Mix</t>
  </si>
  <si>
    <t>2020 Cost</t>
  </si>
  <si>
    <t>% EE from Coal</t>
  </si>
  <si>
    <t>% EE from Gasoline</t>
  </si>
  <si>
    <t>% EE from NG</t>
  </si>
  <si>
    <t>Total % FF EE</t>
  </si>
  <si>
    <t>2020 Price w/ FF price influences</t>
  </si>
  <si>
    <t>2030 Price w/ FF price influences</t>
  </si>
  <si>
    <t>RE Prices w/ Fossil Fuel Influences</t>
  </si>
  <si>
    <t>Population 2006</t>
  </si>
  <si>
    <t>2030 Cost</t>
  </si>
  <si>
    <t>inflation of gasoline 2020/2007</t>
  </si>
  <si>
    <t>inflation of gasoline 2030/2007</t>
  </si>
  <si>
    <t>inflation of NG 2020/2007</t>
  </si>
  <si>
    <t>inflation of Coal 2020/2007</t>
  </si>
  <si>
    <t>inflation of NG 2030/2007</t>
  </si>
  <si>
    <t>inflation of Coal 2030/2007</t>
  </si>
  <si>
    <t>Values given in literature in ¢/kwh</t>
  </si>
  <si>
    <t>conventional Electricity needed</t>
  </si>
  <si>
    <t>Electricity trans.</t>
  </si>
  <si>
    <t>Electric water heater</t>
  </si>
  <si>
    <t>2005 PG&amp;E</t>
  </si>
  <si>
    <t>2005 SCE</t>
  </si>
  <si>
    <t>2005 Average</t>
  </si>
  <si>
    <t>2005 TWH</t>
  </si>
  <si>
    <t>SBC RE Production (TWh)</t>
  </si>
  <si>
    <t>NA</t>
  </si>
  <si>
    <t>Electricity overproduction (TWH)</t>
  </si>
  <si>
    <t>Extra Electricity necessary for FF offset TWh</t>
  </si>
  <si>
    <t>HFCV lifetime =</t>
  </si>
  <si>
    <t>50% less G&amp;D</t>
  </si>
  <si>
    <t>1000 MW ocean</t>
  </si>
  <si>
    <t>1000 MW wind</t>
  </si>
  <si>
    <t>Total Energy Needed for Transportation in 2030</t>
  </si>
  <si>
    <t>Carbon content (g CO2/kWh)</t>
  </si>
  <si>
    <t>Therm/kWh</t>
  </si>
  <si>
    <t>Effect of Ethanol in Gasoline</t>
  </si>
  <si>
    <t xml:space="preserve">Effect of  MPG CAFÉ/AB 1493 </t>
  </si>
  <si>
    <t>Effect of  EV sales</t>
  </si>
  <si>
    <t>Premiums for Efficient Vehicles</t>
  </si>
  <si>
    <t>petroleum extraction efficiency</t>
  </si>
  <si>
    <t>9.4-21.3</t>
  </si>
  <si>
    <t>PV, CSP        (roof top)</t>
  </si>
  <si>
    <t>20-34</t>
  </si>
  <si>
    <t>5-7</t>
  </si>
  <si>
    <t>21-35</t>
  </si>
  <si>
    <t>5-19</t>
  </si>
  <si>
    <t>6-8</t>
  </si>
  <si>
    <t>Energy Efficiency</t>
  </si>
  <si>
    <t>percentage of cars surviving, per year</t>
  </si>
  <si>
    <t>CAFÉ (mpg) for</t>
  </si>
  <si>
    <t>HEV economy boost</t>
  </si>
  <si>
    <t>PHEV mpg</t>
  </si>
  <si>
    <t>% miles driven each year compared to previous</t>
  </si>
  <si>
    <t>Number of cars OF ALL TYPES sold</t>
  </si>
  <si>
    <t>%s of vehicles sold, needs to add to 100</t>
  </si>
  <si>
    <t>Plain Ol' Gasoline</t>
  </si>
  <si>
    <t>Normal Hybrid</t>
  </si>
  <si>
    <t>Plug-In Hybrid</t>
  </si>
  <si>
    <t>Pure Electric</t>
  </si>
  <si>
    <t>Fuel Cell</t>
  </si>
  <si>
    <t>addition check - 100%?</t>
  </si>
  <si>
    <t>EV CO2 emitted per mile traveled</t>
  </si>
  <si>
    <t>ICE FLEET</t>
  </si>
  <si>
    <r>
      <t>DO NOT EDIT THIS COL</t>
    </r>
    <r>
      <rPr>
        <sz val="10"/>
        <rFont val="Arial"/>
        <family val="2"/>
      </rPr>
      <t>UMN</t>
    </r>
  </si>
  <si>
    <t>TOTALS</t>
  </si>
  <si>
    <t>% of fleet by veh type</t>
  </si>
  <si>
    <t>checksum</t>
  </si>
  <si>
    <t>% VMT by type</t>
  </si>
  <si>
    <t>% Sold by type</t>
  </si>
  <si>
    <t>% of new cars ICE</t>
  </si>
  <si>
    <t>ICE cars sold</t>
  </si>
  <si>
    <t>mpg for new cars</t>
  </si>
  <si>
    <t>gpm</t>
  </si>
  <si>
    <t>miles driven by age</t>
  </si>
  <si>
    <t>Vehicle age</t>
  </si>
  <si>
    <t>% of vehicles remaining</t>
  </si>
  <si>
    <t>gas burned by fleet</t>
  </si>
  <si>
    <t>CO2 emitted (kg)</t>
  </si>
  <si>
    <t>miles driven by fleet</t>
  </si>
  <si>
    <t>cars on road</t>
  </si>
  <si>
    <t>fleet MPG mileage-weighted</t>
  </si>
  <si>
    <t>Percent VMT</t>
  </si>
  <si>
    <t>veh % flt</t>
  </si>
  <si>
    <t>New cars of ALL TYPES sold per year</t>
  </si>
  <si>
    <t># of cars of ALL TYPES on road</t>
  </si>
  <si>
    <t>total miles driven</t>
  </si>
  <si>
    <t>% of cars sold each year (should add to 100)</t>
  </si>
  <si>
    <t>ICE</t>
  </si>
  <si>
    <t>EV</t>
  </si>
  <si>
    <t>HEV</t>
  </si>
  <si>
    <t>PHEV</t>
  </si>
  <si>
    <t>DSL</t>
  </si>
  <si>
    <t>annual % retention</t>
  </si>
  <si>
    <t>year on year mileage ratio</t>
  </si>
  <si>
    <t>use for 2000-2007</t>
  </si>
  <si>
    <t>EV FLEET</t>
  </si>
  <si>
    <t>% of new veh that are EV</t>
  </si>
  <si>
    <t>EV cars sold</t>
  </si>
  <si>
    <t>miles per kwh</t>
  </si>
  <si>
    <t>kwh per mile</t>
  </si>
  <si>
    <t>CO2 emitted</t>
  </si>
  <si>
    <t># of EVs on road</t>
  </si>
  <si>
    <t>percent VMT</t>
  </si>
  <si>
    <t>% of fleet</t>
  </si>
  <si>
    <t>total kwh usage for Evs</t>
  </si>
  <si>
    <t>HYBRID FLEET</t>
  </si>
  <si>
    <t>% of new cars HEV</t>
  </si>
  <si>
    <t>HEV cars sold</t>
  </si>
  <si>
    <t>PHEV fleet</t>
  </si>
  <si>
    <t>PHEV cars sold</t>
  </si>
  <si>
    <t>% VMT</t>
  </si>
  <si>
    <t>Diesel Fleet</t>
  </si>
  <si>
    <t>% of new veh DSL</t>
  </si>
  <si>
    <t>new DSL sold</t>
  </si>
  <si>
    <t>Café MPG</t>
  </si>
  <si>
    <t>dsl burned by fleet</t>
  </si>
  <si>
    <t>% fleet</t>
  </si>
  <si>
    <t>% of new cars PHEV</t>
  </si>
  <si>
    <t>ETOH FLEET</t>
  </si>
  <si>
    <t>ETOH</t>
  </si>
  <si>
    <t># of FCVs on road</t>
  </si>
  <si>
    <t># of ETOH on road</t>
  </si>
  <si>
    <t>FCV</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</si>
</sst>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000000"/>
    <numFmt numFmtId="167" formatCode="0.00000"/>
    <numFmt numFmtId="168" formatCode="0.0%"/>
    <numFmt numFmtId="169" formatCode="0.000"/>
    <numFmt numFmtId="170" formatCode="\$#,##0"/>
    <numFmt numFmtId="171" formatCode="#,##0.000"/>
    <numFmt numFmtId="172" formatCode="_(* #,##0.00_);_(* \(#,##0.00\);_(* \-??_);_(@_)"/>
    <numFmt numFmtId="173" formatCode="0.0000"/>
    <numFmt numFmtId="174" formatCode="_(* #,##0_);_(* \(#,##0\);_(* \-??_);_(@_)"/>
    <numFmt numFmtId="175" formatCode="\$#,##0.00"/>
    <numFmt numFmtId="176" formatCode="_(\$* #,##0.00_);_(\$* \(#,##0.00\);_(\$* \-??_);_(@_)"/>
    <numFmt numFmtId="177" formatCode="\$#,##0.00_);[Red]&quot;($&quot;#,##0.00\)"/>
    <numFmt numFmtId="178" formatCode="#,##0.0"/>
    <numFmt numFmtId="179" formatCode="0.000%"/>
    <numFmt numFmtId="180" formatCode="_(* #,##0.0_);_(* \(#,##0.0\);_(* \-??_);_(@_)"/>
    <numFmt numFmtId="181" formatCode="0.000000"/>
    <numFmt numFmtId="182" formatCode="0.00000000"/>
    <numFmt numFmtId="183" formatCode="_(* #,##0.0_);_(* \(#,##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00_);_(* \(#,##0.000\);_(* \-??_);_(@_)"/>
    <numFmt numFmtId="189" formatCode="_(* #,##0.0000_);_(* \(#,##0.0000\);_(* \-??_);_(@_)"/>
    <numFmt numFmtId="190" formatCode="_(* #,##0.00000_);_(* \(#,##0.00000\);_(* \-??_);_(@_)"/>
    <numFmt numFmtId="191" formatCode="_(* #,##0.000000_);_(* \(#,##0.000000\);_(* \-??_);_(@_)"/>
    <numFmt numFmtId="192" formatCode="_(* #,##0.0000000_);_(* \(#,##0.0000000\);_(* \-??_);_(@_)"/>
    <numFmt numFmtId="193" formatCode="_(* #,##0.00000000_);_(* \(#,##0.00000000\);_(* \-??_);_(@_)"/>
    <numFmt numFmtId="194" formatCode="_(* #,##0.00000000_);_(* \(#,##0.00000000\);_(* &quot;-&quot;????????_);_(@_)"/>
    <numFmt numFmtId="195" formatCode="0.000000000000000%"/>
    <numFmt numFmtId="196" formatCode="0_)"/>
    <numFmt numFmtId="197" formatCode="0.000E+00"/>
  </numFmts>
  <fonts count="52">
    <font>
      <sz val="10"/>
      <name val="Arial"/>
      <family val="2"/>
    </font>
    <font>
      <sz val="10"/>
      <name val="Helv"/>
      <family val="2"/>
    </font>
    <font>
      <sz val="9"/>
      <name val="Helv"/>
      <family val="2"/>
    </font>
    <font>
      <sz val="12"/>
      <name val="Helv"/>
      <family val="2"/>
    </font>
    <font>
      <b/>
      <sz val="10"/>
      <name val="Helv"/>
      <family val="2"/>
    </font>
    <font>
      <b/>
      <sz val="9"/>
      <name val="Helv"/>
      <family val="2"/>
    </font>
    <font>
      <sz val="8.5"/>
      <name val="Helv"/>
      <family val="2"/>
    </font>
    <font>
      <sz val="8"/>
      <name val="Helv"/>
      <family val="2"/>
    </font>
    <font>
      <b/>
      <sz val="14"/>
      <name val="Helv"/>
      <family val="2"/>
    </font>
    <font>
      <b/>
      <sz val="12"/>
      <name val="Helv"/>
      <family val="2"/>
    </font>
    <font>
      <b/>
      <sz val="10"/>
      <name val="Arial"/>
      <family val="2"/>
    </font>
    <font>
      <b/>
      <sz val="9"/>
      <color indexed="8"/>
      <name val="Arial"/>
      <family val="2"/>
    </font>
    <font>
      <sz val="9"/>
      <color indexed="8"/>
      <name val="Arial"/>
      <family val="2"/>
    </font>
    <font>
      <b/>
      <sz val="18"/>
      <name val="Arial"/>
      <family val="2"/>
    </font>
    <font>
      <sz val="18"/>
      <name val="Arial"/>
      <family val="2"/>
    </font>
    <font>
      <b/>
      <sz val="8"/>
      <color indexed="8"/>
      <name val="DejaVu Sans"/>
      <family val="1"/>
    </font>
    <font>
      <sz val="8"/>
      <color indexed="8"/>
      <name val="DejaVu Sans"/>
      <family val="1"/>
    </font>
    <font>
      <b/>
      <sz val="9"/>
      <color indexed="8"/>
      <name val="DejaVu Sans"/>
      <family val="1"/>
    </font>
    <font>
      <sz val="9"/>
      <color indexed="8"/>
      <name val="DejaVu Sans"/>
      <family val="1"/>
    </font>
    <font>
      <b/>
      <sz val="14"/>
      <name val="Arial"/>
      <family val="2"/>
    </font>
    <font>
      <b/>
      <sz val="16"/>
      <name val="Arial"/>
      <family val="2"/>
    </font>
    <font>
      <sz val="20"/>
      <name val="Arial"/>
      <family val="2"/>
    </font>
    <font>
      <b/>
      <sz val="12"/>
      <name val="Arial"/>
      <family val="2"/>
    </font>
    <font>
      <sz val="10"/>
      <color indexed="8"/>
      <name val="Arial"/>
      <family val="2"/>
    </font>
    <font>
      <b/>
      <sz val="9"/>
      <color indexed="8"/>
      <name val="Verdana"/>
      <family val="2"/>
    </font>
    <font>
      <sz val="9"/>
      <color indexed="8"/>
      <name val="Verdana"/>
      <family val="2"/>
    </font>
    <font>
      <b/>
      <i/>
      <sz val="10"/>
      <name val="Arial"/>
      <family val="2"/>
    </font>
    <font>
      <sz val="10"/>
      <name val="Verdana"/>
      <family val="0"/>
    </font>
    <font>
      <sz val="12"/>
      <name val="Arial"/>
      <family val="2"/>
    </font>
    <font>
      <sz val="8"/>
      <name val="Arial"/>
      <family val="2"/>
    </font>
    <font>
      <b/>
      <i/>
      <sz val="12"/>
      <name val="Arial"/>
      <family val="2"/>
    </font>
    <font>
      <strike/>
      <sz val="10"/>
      <name val="Arial"/>
      <family val="2"/>
    </font>
    <font>
      <b/>
      <strike/>
      <sz val="10"/>
      <name val="Arial"/>
      <family val="2"/>
    </font>
    <font>
      <b/>
      <sz val="22"/>
      <name val="Arial"/>
      <family val="2"/>
    </font>
    <font>
      <b/>
      <sz val="12"/>
      <color indexed="8"/>
      <name val="Calibri"/>
      <family val="2"/>
    </font>
    <font>
      <sz val="10"/>
      <color indexed="8"/>
      <name val="Calibri"/>
      <family val="2"/>
    </font>
    <font>
      <sz val="8"/>
      <name val="Tahoma"/>
      <family val="2"/>
    </font>
    <font>
      <b/>
      <sz val="8"/>
      <name val="Tahoma"/>
      <family val="2"/>
    </font>
    <font>
      <u val="single"/>
      <sz val="10"/>
      <color indexed="12"/>
      <name val="Arial"/>
      <family val="2"/>
    </font>
    <font>
      <u val="single"/>
      <sz val="10"/>
      <color indexed="61"/>
      <name val="Arial"/>
      <family val="2"/>
    </font>
    <font>
      <sz val="9"/>
      <name val="Arial"/>
      <family val="2"/>
    </font>
    <font>
      <b/>
      <sz val="9"/>
      <name val="Arial"/>
      <family val="2"/>
    </font>
    <font>
      <b/>
      <sz val="8"/>
      <color indexed="8"/>
      <name val="Times New Roman"/>
      <family val="1"/>
    </font>
    <font>
      <sz val="8"/>
      <color indexed="8"/>
      <name val="Times New Roman"/>
      <family val="1"/>
    </font>
    <font>
      <sz val="5.8"/>
      <name val="Arial"/>
      <family val="5"/>
    </font>
    <font>
      <sz val="14"/>
      <name val="Arial"/>
      <family val="0"/>
    </font>
    <font>
      <sz val="10"/>
      <name val="Times New Roman"/>
      <family val="1"/>
    </font>
    <font>
      <sz val="10"/>
      <name val="Courier"/>
      <family val="3"/>
    </font>
    <font>
      <sz val="10"/>
      <color indexed="53"/>
      <name val="Arial"/>
      <family val="2"/>
    </font>
    <font>
      <sz val="11"/>
      <color indexed="8"/>
      <name val="Calibri"/>
      <family val="2"/>
    </font>
    <font>
      <sz val="10"/>
      <color indexed="60"/>
      <name val="Arial"/>
      <family val="2"/>
    </font>
    <font>
      <b/>
      <sz val="8"/>
      <name val="Arial"/>
      <family val="2"/>
    </font>
  </fonts>
  <fills count="47">
    <fill>
      <patternFill/>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4"/>
        <bgColor indexed="64"/>
      </patternFill>
    </fill>
    <fill>
      <patternFill patternType="solid">
        <fgColor indexed="61"/>
        <bgColor indexed="64"/>
      </patternFill>
    </fill>
    <fill>
      <patternFill patternType="solid">
        <fgColor indexed="51"/>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60"/>
        <bgColor indexed="64"/>
      </patternFill>
    </fill>
    <fill>
      <patternFill patternType="solid">
        <fgColor indexed="26"/>
        <bgColor indexed="64"/>
      </patternFill>
    </fill>
    <fill>
      <patternFill patternType="solid">
        <fgColor indexed="11"/>
        <bgColor indexed="64"/>
      </patternFill>
    </fill>
    <fill>
      <patternFill patternType="solid">
        <fgColor indexed="57"/>
        <bgColor indexed="64"/>
      </patternFill>
    </fill>
    <fill>
      <patternFill patternType="solid">
        <fgColor indexed="41"/>
        <bgColor indexed="64"/>
      </patternFill>
    </fill>
    <fill>
      <patternFill patternType="solid">
        <fgColor indexed="13"/>
        <bgColor indexed="64"/>
      </patternFill>
    </fill>
    <fill>
      <patternFill patternType="solid">
        <fgColor indexed="19"/>
        <bgColor indexed="64"/>
      </patternFill>
    </fill>
    <fill>
      <patternFill patternType="solid">
        <fgColor indexed="42"/>
        <bgColor indexed="64"/>
      </patternFill>
    </fill>
    <fill>
      <patternFill patternType="solid">
        <fgColor indexed="13"/>
        <bgColor indexed="64"/>
      </patternFill>
    </fill>
    <fill>
      <patternFill patternType="solid">
        <fgColor indexed="54"/>
        <bgColor indexed="64"/>
      </patternFill>
    </fill>
    <fill>
      <patternFill patternType="solid">
        <fgColor indexed="42"/>
        <bgColor indexed="64"/>
      </patternFill>
    </fill>
    <fill>
      <patternFill patternType="solid">
        <fgColor indexed="42"/>
        <bgColor indexed="64"/>
      </patternFill>
    </fill>
    <fill>
      <patternFill patternType="solid">
        <fgColor indexed="14"/>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21"/>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25"/>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45"/>
        <bgColor indexed="64"/>
      </patternFill>
    </fill>
    <fill>
      <patternFill patternType="solid">
        <fgColor indexed="21"/>
        <bgColor indexed="64"/>
      </patternFill>
    </fill>
  </fills>
  <borders count="134">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medium">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color indexed="63"/>
      </top>
      <bottom>
        <color indexed="63"/>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medium">
        <color indexed="8"/>
      </left>
      <right style="thin">
        <color indexed="8"/>
      </right>
      <top style="thin">
        <color indexed="8"/>
      </top>
      <bottom style="thin">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color indexed="8"/>
      </right>
      <top style="medium">
        <color indexed="8"/>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style="thin">
        <color indexed="8"/>
      </top>
      <bottom style="medium">
        <color indexed="8"/>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thin"/>
      <right style="medium"/>
      <top style="medium"/>
      <bottom style="medium"/>
    </border>
    <border>
      <left style="thin"/>
      <right style="thin"/>
      <top style="medium"/>
      <bottom style="medium"/>
    </border>
    <border>
      <left style="thin">
        <color indexed="8"/>
      </left>
      <right style="medium">
        <color indexed="8"/>
      </right>
      <top>
        <color indexed="63"/>
      </top>
      <bottom style="thin">
        <color indexed="8"/>
      </bottom>
    </border>
    <border>
      <left>
        <color indexed="63"/>
      </left>
      <right style="medium"/>
      <top style="medium"/>
      <bottom style="mediu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top style="thin"/>
      <bottom style="thin"/>
    </border>
    <border>
      <left style="thin"/>
      <right style="thin"/>
      <top style="thin"/>
      <bottom>
        <color indexed="63"/>
      </bottom>
    </border>
    <border>
      <left>
        <color indexed="63"/>
      </left>
      <right style="thin">
        <color indexed="8"/>
      </right>
      <top style="medium"/>
      <bottom style="thin">
        <color indexed="8"/>
      </bottom>
    </border>
    <border>
      <left>
        <color indexed="63"/>
      </left>
      <right style="thin">
        <color indexed="8"/>
      </right>
      <top style="thin">
        <color indexed="8"/>
      </top>
      <bottom style="medium"/>
    </border>
    <border>
      <left style="thin"/>
      <right style="medium"/>
      <top style="thin"/>
      <bottom style="thin"/>
    </border>
    <border>
      <left style="thin"/>
      <right style="medium"/>
      <top style="thin"/>
      <bottom style="medium"/>
    </border>
    <border>
      <left style="thin">
        <color indexed="8"/>
      </left>
      <right>
        <color indexed="63"/>
      </right>
      <top style="medium"/>
      <bottom style="thin">
        <color indexed="8"/>
      </bottom>
    </border>
    <border>
      <left style="thin"/>
      <right style="thin"/>
      <top style="medium"/>
      <bottom style="thin"/>
    </border>
    <border>
      <left style="thin">
        <color indexed="8"/>
      </left>
      <right>
        <color indexed="63"/>
      </right>
      <top style="thin">
        <color indexed="8"/>
      </top>
      <bottom style="medium"/>
    </border>
    <border>
      <left style="thin"/>
      <right style="thin"/>
      <top style="thin"/>
      <bottom style="medium"/>
    </border>
    <border>
      <left style="thin"/>
      <right style="medium"/>
      <top style="medium"/>
      <bottom style="thin"/>
    </border>
    <border>
      <left>
        <color indexed="63"/>
      </left>
      <right style="thin">
        <color indexed="8"/>
      </right>
      <top>
        <color indexed="63"/>
      </top>
      <bottom style="thin">
        <color indexed="8"/>
      </bottom>
    </border>
    <border>
      <left>
        <color indexed="63"/>
      </left>
      <right>
        <color indexed="63"/>
      </right>
      <top style="medium"/>
      <bottom style="mediu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ck">
        <color indexed="8"/>
      </left>
      <right style="thin">
        <color indexed="8"/>
      </right>
      <top style="thick">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right style="thin">
        <color indexed="8"/>
      </right>
      <top>
        <color indexed="63"/>
      </top>
      <bottom style="thin">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medium">
        <color indexed="8"/>
      </left>
      <right style="medium">
        <color indexed="8"/>
      </right>
      <top style="medium">
        <color indexed="8"/>
      </top>
      <bottom style="thin">
        <color indexed="8"/>
      </botto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ill="0" applyBorder="0" applyAlignment="0" applyProtection="0"/>
    <xf numFmtId="41" fontId="0" fillId="0" borderId="0" applyFill="0" applyBorder="0" applyAlignment="0" applyProtection="0"/>
    <xf numFmtId="176" fontId="0" fillId="0" borderId="0" applyFill="0" applyBorder="0" applyAlignment="0" applyProtection="0"/>
    <xf numFmtId="42" fontId="0" fillId="0" borderId="0" applyFill="0" applyBorder="0" applyAlignment="0" applyProtection="0"/>
    <xf numFmtId="0" fontId="1" fillId="0" borderId="1" applyNumberFormat="0" applyFill="0">
      <alignment horizontal="right"/>
      <protection/>
    </xf>
    <xf numFmtId="164" fontId="2" fillId="0" borderId="1">
      <alignment horizontal="right" vertical="center"/>
      <protection/>
    </xf>
    <xf numFmtId="49" fontId="3" fillId="0" borderId="1">
      <alignment horizontal="left" vertical="center"/>
      <protection/>
    </xf>
    <xf numFmtId="0" fontId="1" fillId="0" borderId="1" applyNumberFormat="0" applyFill="0">
      <alignment horizontal="right"/>
      <protection/>
    </xf>
    <xf numFmtId="0" fontId="39" fillId="0" borderId="0" applyNumberFormat="0" applyFill="0" applyBorder="0" applyAlignment="0" applyProtection="0"/>
    <xf numFmtId="0" fontId="4" fillId="0" borderId="1">
      <alignment horizontal="left"/>
      <protection/>
    </xf>
    <xf numFmtId="0" fontId="5" fillId="0" borderId="2">
      <alignment horizontal="right" vertical="center"/>
      <protection/>
    </xf>
    <xf numFmtId="0" fontId="6" fillId="0" borderId="1">
      <alignment horizontal="left" vertical="center"/>
      <protection/>
    </xf>
    <xf numFmtId="0" fontId="1" fillId="0" borderId="1">
      <alignment horizontal="left" vertical="center"/>
      <protection/>
    </xf>
    <xf numFmtId="0" fontId="4" fillId="0" borderId="1">
      <alignment horizontal="left"/>
      <protection/>
    </xf>
    <xf numFmtId="0" fontId="4" fillId="2" borderId="0">
      <alignment horizontal="center" wrapText="1"/>
      <protection/>
    </xf>
    <xf numFmtId="0" fontId="38" fillId="0" borderId="0" applyNumberFormat="0" applyFill="0" applyBorder="0" applyAlignment="0" applyProtection="0"/>
    <xf numFmtId="196" fontId="47" fillId="0" borderId="0">
      <alignment/>
      <protection/>
    </xf>
    <xf numFmtId="9" fontId="0" fillId="0" borderId="0" applyFill="0" applyBorder="0" applyAlignment="0" applyProtection="0"/>
    <xf numFmtId="0" fontId="7" fillId="0" borderId="0">
      <alignment horizontal="right"/>
      <protection/>
    </xf>
    <xf numFmtId="0" fontId="3" fillId="0" borderId="0">
      <alignment horizontal="right"/>
      <protection/>
    </xf>
    <xf numFmtId="0" fontId="7" fillId="0" borderId="0">
      <alignment horizontal="left"/>
      <protection/>
    </xf>
    <xf numFmtId="49" fontId="2" fillId="0" borderId="0">
      <alignment horizontal="left" vertical="center"/>
      <protection/>
    </xf>
    <xf numFmtId="49" fontId="3" fillId="0" borderId="1">
      <alignment horizontal="left"/>
      <protection/>
    </xf>
    <xf numFmtId="0" fontId="2" fillId="0" borderId="0" applyNumberFormat="0">
      <alignment horizontal="right"/>
      <protection/>
    </xf>
    <xf numFmtId="0" fontId="5" fillId="2" borderId="0">
      <alignment horizontal="center" vertical="center" wrapText="1"/>
      <protection/>
    </xf>
    <xf numFmtId="0" fontId="5" fillId="0" borderId="2">
      <alignment horizontal="left" vertical="center"/>
      <protection/>
    </xf>
    <xf numFmtId="0" fontId="8" fillId="0" borderId="0">
      <alignment horizontal="left" vertical="top"/>
      <protection/>
    </xf>
    <xf numFmtId="0" fontId="4" fillId="0" borderId="0">
      <alignment horizontal="left"/>
      <protection/>
    </xf>
    <xf numFmtId="0" fontId="9" fillId="0" borderId="0">
      <alignment horizontal="left"/>
      <protection/>
    </xf>
    <xf numFmtId="0" fontId="1" fillId="0" borderId="0">
      <alignment horizontal="left"/>
      <protection/>
    </xf>
    <xf numFmtId="0" fontId="8" fillId="0" borderId="0">
      <alignment horizontal="left" vertical="top"/>
      <protection/>
    </xf>
    <xf numFmtId="0" fontId="9" fillId="0" borderId="0">
      <alignment horizontal="left"/>
      <protection/>
    </xf>
    <xf numFmtId="0" fontId="1" fillId="0" borderId="0">
      <alignment horizontal="left"/>
      <protection/>
    </xf>
    <xf numFmtId="49" fontId="2" fillId="0" borderId="1">
      <alignment horizontal="left"/>
      <protection/>
    </xf>
    <xf numFmtId="0" fontId="5" fillId="0" borderId="2">
      <alignment horizontal="left"/>
      <protection/>
    </xf>
    <xf numFmtId="0" fontId="4" fillId="0" borderId="0">
      <alignment horizontal="left" vertical="center"/>
      <protection/>
    </xf>
  </cellStyleXfs>
  <cellXfs count="798">
    <xf numFmtId="0" fontId="0" fillId="0" borderId="0" xfId="0" applyAlignment="1">
      <alignment/>
    </xf>
    <xf numFmtId="0" fontId="0" fillId="0" borderId="0" xfId="0" applyAlignment="1">
      <alignment wrapText="1"/>
    </xf>
    <xf numFmtId="0" fontId="10" fillId="0" borderId="0" xfId="0" applyFont="1" applyBorder="1" applyAlignment="1">
      <alignment horizontal="center" wrapText="1"/>
    </xf>
    <xf numFmtId="0" fontId="10" fillId="0" borderId="0" xfId="0" applyNumberFormat="1" applyFont="1" applyAlignment="1">
      <alignment wrapText="1"/>
    </xf>
    <xf numFmtId="2" fontId="0" fillId="3" borderId="3" xfId="0" applyNumberFormat="1" applyFill="1" applyBorder="1" applyAlignment="1">
      <alignment/>
    </xf>
    <xf numFmtId="2" fontId="0" fillId="4" borderId="3" xfId="0" applyNumberFormat="1" applyFill="1" applyBorder="1" applyAlignment="1">
      <alignment horizontal="center" wrapText="1"/>
    </xf>
    <xf numFmtId="2" fontId="0" fillId="5" borderId="3" xfId="0" applyNumberFormat="1" applyFill="1" applyBorder="1" applyAlignment="1">
      <alignment horizontal="center" wrapText="1"/>
    </xf>
    <xf numFmtId="2" fontId="0" fillId="6" borderId="3" xfId="0" applyNumberFormat="1" applyFont="1" applyFill="1" applyBorder="1" applyAlignment="1">
      <alignment horizontal="center" wrapText="1"/>
    </xf>
    <xf numFmtId="2" fontId="0" fillId="7" borderId="3" xfId="0" applyNumberFormat="1" applyFill="1" applyBorder="1" applyAlignment="1">
      <alignment horizontal="center" wrapText="1"/>
    </xf>
    <xf numFmtId="2" fontId="0" fillId="3" borderId="4" xfId="0" applyNumberFormat="1" applyFill="1" applyBorder="1" applyAlignment="1">
      <alignment horizontal="center" wrapText="1"/>
    </xf>
    <xf numFmtId="0" fontId="10" fillId="0" borderId="0" xfId="0" applyFont="1" applyAlignment="1">
      <alignment horizontal="right" wrapText="1"/>
    </xf>
    <xf numFmtId="9" fontId="10" fillId="0" borderId="0" xfId="32" applyFont="1" applyFill="1" applyBorder="1" applyAlignment="1" applyProtection="1">
      <alignment horizontal="center" wrapText="1"/>
      <protection/>
    </xf>
    <xf numFmtId="0" fontId="0" fillId="0" borderId="0" xfId="0" applyAlignment="1">
      <alignment horizontal="right" wrapText="1"/>
    </xf>
    <xf numFmtId="10" fontId="0" fillId="0" borderId="0" xfId="0" applyNumberFormat="1" applyFont="1" applyBorder="1" applyAlignment="1">
      <alignment horizontal="right" wrapText="1"/>
    </xf>
    <xf numFmtId="2" fontId="0" fillId="0" borderId="0" xfId="0" applyNumberFormat="1" applyBorder="1" applyAlignment="1">
      <alignment horizontal="center" wrapText="1"/>
    </xf>
    <xf numFmtId="0" fontId="0" fillId="0" borderId="0" xfId="0" applyBorder="1" applyAlignment="1">
      <alignment wrapText="1"/>
    </xf>
    <xf numFmtId="2" fontId="0" fillId="0" borderId="0" xfId="0" applyNumberFormat="1" applyFont="1" applyBorder="1" applyAlignment="1">
      <alignment horizontal="right" wrapText="1"/>
    </xf>
    <xf numFmtId="2" fontId="0" fillId="0" borderId="0" xfId="0" applyNumberFormat="1" applyAlignment="1">
      <alignment wrapText="1"/>
    </xf>
    <xf numFmtId="10" fontId="0" fillId="0" borderId="0" xfId="0" applyNumberFormat="1" applyAlignment="1">
      <alignment horizontal="center" wrapText="1"/>
    </xf>
    <xf numFmtId="2" fontId="0" fillId="0" borderId="0" xfId="0" applyNumberFormat="1" applyAlignment="1">
      <alignment horizontal="center" wrapText="1"/>
    </xf>
    <xf numFmtId="3" fontId="0" fillId="0" borderId="0" xfId="0" applyNumberFormat="1" applyAlignment="1">
      <alignment wrapText="1"/>
    </xf>
    <xf numFmtId="0" fontId="10" fillId="0" borderId="0" xfId="0" applyFont="1" applyFill="1" applyBorder="1" applyAlignment="1">
      <alignment horizontal="center" wrapText="1"/>
    </xf>
    <xf numFmtId="0" fontId="0" fillId="0" borderId="5" xfId="0" applyFont="1" applyBorder="1" applyAlignment="1">
      <alignment wrapText="1"/>
    </xf>
    <xf numFmtId="0" fontId="0" fillId="0" borderId="6" xfId="0" applyFont="1" applyBorder="1" applyAlignment="1">
      <alignment/>
    </xf>
    <xf numFmtId="0" fontId="0" fillId="0" borderId="0" xfId="0" applyFont="1" applyFill="1" applyBorder="1" applyAlignment="1">
      <alignment wrapText="1"/>
    </xf>
    <xf numFmtId="0" fontId="0" fillId="0" borderId="0" xfId="0" applyFill="1" applyAlignment="1">
      <alignment/>
    </xf>
    <xf numFmtId="3" fontId="0" fillId="0" borderId="0" xfId="0" applyNumberFormat="1" applyFont="1" applyFill="1" applyBorder="1" applyAlignment="1">
      <alignment horizontal="center" wrapText="1"/>
    </xf>
    <xf numFmtId="0" fontId="0" fillId="0" borderId="0" xfId="0" applyBorder="1" applyAlignment="1">
      <alignment/>
    </xf>
    <xf numFmtId="0" fontId="0" fillId="0" borderId="7" xfId="0" applyBorder="1" applyAlignment="1">
      <alignment wrapText="1"/>
    </xf>
    <xf numFmtId="0" fontId="0" fillId="0" borderId="0" xfId="0" applyFont="1" applyFill="1" applyBorder="1" applyAlignment="1">
      <alignment/>
    </xf>
    <xf numFmtId="0" fontId="10" fillId="8" borderId="8" xfId="0" applyFont="1" applyFill="1" applyBorder="1" applyAlignment="1">
      <alignment horizontal="center" wrapText="1"/>
    </xf>
    <xf numFmtId="0" fontId="10" fillId="8" borderId="9" xfId="0" applyFont="1" applyFill="1" applyBorder="1" applyAlignment="1">
      <alignment horizontal="center" wrapText="1"/>
    </xf>
    <xf numFmtId="0" fontId="10" fillId="0" borderId="0" xfId="0" applyFont="1" applyAlignment="1">
      <alignment horizontal="center" wrapText="1"/>
    </xf>
    <xf numFmtId="0" fontId="0" fillId="8" borderId="0" xfId="0" applyFill="1" applyAlignment="1">
      <alignment wrapText="1"/>
    </xf>
    <xf numFmtId="3" fontId="0" fillId="8" borderId="10" xfId="0" applyNumberFormat="1" applyFill="1" applyBorder="1" applyAlignment="1">
      <alignment wrapText="1"/>
    </xf>
    <xf numFmtId="0" fontId="19" fillId="9" borderId="11" xfId="0" applyFont="1" applyFill="1" applyBorder="1" applyAlignment="1">
      <alignment horizontal="center" wrapText="1"/>
    </xf>
    <xf numFmtId="0" fontId="10" fillId="9" borderId="11" xfId="0" applyFont="1" applyFill="1" applyBorder="1" applyAlignment="1">
      <alignment horizontal="center" wrapText="1"/>
    </xf>
    <xf numFmtId="2" fontId="10" fillId="9" borderId="0" xfId="0" applyNumberFormat="1" applyFont="1" applyFill="1" applyAlignment="1">
      <alignment horizontal="center" wrapText="1"/>
    </xf>
    <xf numFmtId="0" fontId="0" fillId="0" borderId="0" xfId="0" applyFont="1" applyAlignment="1">
      <alignment horizontal="center" wrapText="1"/>
    </xf>
    <xf numFmtId="0" fontId="0" fillId="9" borderId="3" xfId="0" applyFont="1" applyFill="1" applyBorder="1" applyAlignment="1">
      <alignment horizontal="center" wrapText="1"/>
    </xf>
    <xf numFmtId="2" fontId="0" fillId="10" borderId="3" xfId="0" applyNumberFormat="1" applyFill="1" applyBorder="1" applyAlignment="1">
      <alignment horizontal="center" wrapText="1"/>
    </xf>
    <xf numFmtId="0" fontId="0" fillId="0" borderId="0" xfId="0" applyAlignment="1">
      <alignment horizontal="center" wrapText="1"/>
    </xf>
    <xf numFmtId="0" fontId="0" fillId="9" borderId="12" xfId="0" applyFont="1" applyFill="1" applyBorder="1" applyAlignment="1">
      <alignment horizontal="center" wrapText="1"/>
    </xf>
    <xf numFmtId="2" fontId="0" fillId="10" borderId="12" xfId="0" applyNumberFormat="1" applyFill="1" applyBorder="1" applyAlignment="1">
      <alignment horizontal="center" wrapText="1"/>
    </xf>
    <xf numFmtId="0" fontId="10" fillId="0" borderId="0" xfId="0" applyFont="1" applyAlignment="1">
      <alignment wrapText="1"/>
    </xf>
    <xf numFmtId="165" fontId="0" fillId="0" borderId="0" xfId="0" applyNumberFormat="1" applyAlignment="1">
      <alignment horizontal="center" wrapText="1"/>
    </xf>
    <xf numFmtId="1" fontId="0" fillId="9" borderId="3" xfId="0" applyNumberFormat="1" applyFont="1" applyFill="1" applyBorder="1" applyAlignment="1">
      <alignment horizontal="center" wrapText="1"/>
    </xf>
    <xf numFmtId="1" fontId="0" fillId="10" borderId="3" xfId="0" applyNumberFormat="1" applyFont="1" applyFill="1" applyBorder="1" applyAlignment="1">
      <alignment horizontal="center" wrapText="1"/>
    </xf>
    <xf numFmtId="165" fontId="0" fillId="10" borderId="3" xfId="0" applyNumberFormat="1" applyFill="1" applyBorder="1" applyAlignment="1">
      <alignment horizontal="center" wrapText="1"/>
    </xf>
    <xf numFmtId="1" fontId="0" fillId="0" borderId="0" xfId="0" applyNumberFormat="1" applyAlignment="1">
      <alignment wrapText="1"/>
    </xf>
    <xf numFmtId="165" fontId="0" fillId="0" borderId="0" xfId="0" applyNumberFormat="1" applyAlignment="1">
      <alignment wrapText="1"/>
    </xf>
    <xf numFmtId="0" fontId="0" fillId="0" borderId="0" xfId="0" applyFill="1" applyBorder="1" applyAlignment="1">
      <alignment horizontal="center" wrapText="1"/>
    </xf>
    <xf numFmtId="0" fontId="0" fillId="0" borderId="0" xfId="0" applyAlignment="1">
      <alignment horizontal="center"/>
    </xf>
    <xf numFmtId="9" fontId="0" fillId="0" borderId="0" xfId="32" applyFill="1" applyBorder="1" applyAlignment="1" applyProtection="1">
      <alignment wrapText="1"/>
      <protection/>
    </xf>
    <xf numFmtId="0" fontId="10" fillId="11" borderId="3" xfId="0" applyFont="1" applyFill="1" applyBorder="1" applyAlignment="1">
      <alignment horizontal="right"/>
    </xf>
    <xf numFmtId="9" fontId="0" fillId="12" borderId="3" xfId="0" applyNumberFormat="1" applyFill="1" applyBorder="1" applyAlignment="1">
      <alignment horizontal="center"/>
    </xf>
    <xf numFmtId="168" fontId="0" fillId="5" borderId="3" xfId="0" applyNumberFormat="1" applyFill="1" applyBorder="1" applyAlignment="1">
      <alignment horizontal="center"/>
    </xf>
    <xf numFmtId="2" fontId="0" fillId="12" borderId="3" xfId="0" applyNumberFormat="1" applyFill="1" applyBorder="1" applyAlignment="1">
      <alignment wrapText="1"/>
    </xf>
    <xf numFmtId="2" fontId="0" fillId="13" borderId="3" xfId="0" applyNumberFormat="1" applyFill="1" applyBorder="1" applyAlignment="1">
      <alignment horizontal="center" wrapText="1"/>
    </xf>
    <xf numFmtId="0" fontId="0" fillId="14" borderId="3" xfId="0" applyFill="1" applyBorder="1" applyAlignment="1">
      <alignment wrapText="1"/>
    </xf>
    <xf numFmtId="0" fontId="10" fillId="8" borderId="3" xfId="0" applyFont="1" applyFill="1" applyBorder="1" applyAlignment="1">
      <alignment horizontal="center" wrapText="1"/>
    </xf>
    <xf numFmtId="0" fontId="0" fillId="8" borderId="3" xfId="0" applyFont="1" applyFill="1" applyBorder="1" applyAlignment="1">
      <alignment horizontal="center" wrapText="1"/>
    </xf>
    <xf numFmtId="0" fontId="0" fillId="8" borderId="11" xfId="0" applyFont="1" applyFill="1" applyBorder="1" applyAlignment="1">
      <alignment horizontal="center" wrapText="1"/>
    </xf>
    <xf numFmtId="0" fontId="0" fillId="8" borderId="0" xfId="0" applyFont="1" applyFill="1" applyAlignment="1">
      <alignment horizontal="center" wrapText="1"/>
    </xf>
    <xf numFmtId="0" fontId="0" fillId="8" borderId="3" xfId="0" applyFill="1" applyBorder="1" applyAlignment="1">
      <alignment horizontal="center"/>
    </xf>
    <xf numFmtId="165" fontId="0" fillId="4" borderId="3" xfId="0" applyNumberFormat="1" applyFill="1" applyBorder="1" applyAlignment="1">
      <alignment horizontal="center"/>
    </xf>
    <xf numFmtId="165" fontId="0" fillId="4" borderId="0" xfId="0" applyNumberFormat="1" applyFill="1" applyBorder="1" applyAlignment="1">
      <alignment horizontal="center"/>
    </xf>
    <xf numFmtId="0" fontId="0" fillId="10" borderId="0" xfId="0" applyFont="1" applyFill="1" applyAlignment="1">
      <alignment horizontal="right" wrapText="1"/>
    </xf>
    <xf numFmtId="165" fontId="23" fillId="4" borderId="3" xfId="0" applyNumberFormat="1" applyFont="1" applyFill="1" applyBorder="1" applyAlignment="1">
      <alignment horizontal="center"/>
    </xf>
    <xf numFmtId="0" fontId="0" fillId="8" borderId="3" xfId="0" applyFont="1" applyFill="1" applyBorder="1" applyAlignment="1">
      <alignment horizontal="center"/>
    </xf>
    <xf numFmtId="165" fontId="0" fillId="4" borderId="12" xfId="0" applyNumberFormat="1" applyFill="1" applyBorder="1" applyAlignment="1">
      <alignment horizontal="center"/>
    </xf>
    <xf numFmtId="0" fontId="0" fillId="8" borderId="13" xfId="0" applyFont="1" applyFill="1" applyBorder="1" applyAlignment="1">
      <alignment horizontal="center"/>
    </xf>
    <xf numFmtId="165" fontId="0" fillId="4" borderId="11" xfId="0" applyNumberFormat="1" applyFill="1" applyBorder="1" applyAlignment="1">
      <alignment horizontal="center"/>
    </xf>
    <xf numFmtId="165" fontId="0" fillId="4" borderId="14" xfId="0" applyNumberFormat="1" applyFill="1" applyBorder="1" applyAlignment="1">
      <alignment horizontal="center"/>
    </xf>
    <xf numFmtId="169" fontId="0" fillId="10" borderId="0" xfId="0" applyNumberFormat="1" applyFill="1" applyAlignment="1">
      <alignment wrapText="1"/>
    </xf>
    <xf numFmtId="0" fontId="0" fillId="15" borderId="0" xfId="0" applyFont="1" applyFill="1" applyAlignment="1">
      <alignment/>
    </xf>
    <xf numFmtId="0" fontId="0" fillId="8" borderId="15" xfId="0" applyFont="1" applyFill="1" applyBorder="1" applyAlignment="1">
      <alignment horizontal="center"/>
    </xf>
    <xf numFmtId="165" fontId="0" fillId="4" borderId="16" xfId="0" applyNumberFormat="1" applyFill="1" applyBorder="1" applyAlignment="1">
      <alignment horizontal="center"/>
    </xf>
    <xf numFmtId="165" fontId="0" fillId="4" borderId="17" xfId="0" applyNumberFormat="1" applyFill="1" applyBorder="1" applyAlignment="1">
      <alignment horizontal="center"/>
    </xf>
    <xf numFmtId="0" fontId="0" fillId="10" borderId="0" xfId="0" applyFont="1" applyFill="1" applyBorder="1" applyAlignment="1">
      <alignment horizontal="right" wrapText="1"/>
    </xf>
    <xf numFmtId="0" fontId="0" fillId="0" borderId="0" xfId="0" applyFill="1" applyBorder="1" applyAlignment="1">
      <alignment horizontal="right" wrapText="1"/>
    </xf>
    <xf numFmtId="165" fontId="0" fillId="0" borderId="0" xfId="0" applyNumberFormat="1" applyBorder="1" applyAlignment="1">
      <alignment/>
    </xf>
    <xf numFmtId="165" fontId="0" fillId="0" borderId="0" xfId="0" applyNumberFormat="1" applyBorder="1" applyAlignment="1">
      <alignment horizontal="center"/>
    </xf>
    <xf numFmtId="0" fontId="0" fillId="0" borderId="18" xfId="0" applyFill="1" applyBorder="1" applyAlignment="1">
      <alignment wrapText="1"/>
    </xf>
    <xf numFmtId="0" fontId="10" fillId="14" borderId="0" xfId="0" applyFont="1" applyFill="1" applyBorder="1" applyAlignment="1">
      <alignment horizontal="center" vertical="center" wrapText="1"/>
    </xf>
    <xf numFmtId="0" fontId="19" fillId="14" borderId="18" xfId="0" applyFont="1" applyFill="1" applyBorder="1" applyAlignment="1">
      <alignment horizontal="center" wrapText="1"/>
    </xf>
    <xf numFmtId="0" fontId="19" fillId="14" borderId="0" xfId="0" applyFont="1" applyFill="1" applyBorder="1" applyAlignment="1">
      <alignment horizontal="center" wrapText="1"/>
    </xf>
    <xf numFmtId="0" fontId="0" fillId="14" borderId="18" xfId="0" applyFill="1" applyBorder="1" applyAlignment="1">
      <alignment wrapText="1"/>
    </xf>
    <xf numFmtId="0" fontId="0" fillId="14" borderId="18" xfId="0" applyFont="1" applyFill="1" applyBorder="1" applyAlignment="1">
      <alignment horizontal="center" vertical="center" wrapText="1"/>
    </xf>
    <xf numFmtId="169" fontId="0" fillId="14" borderId="0" xfId="0" applyNumberFormat="1" applyFill="1" applyBorder="1" applyAlignment="1">
      <alignment horizontal="center" vertical="center" wrapText="1"/>
    </xf>
    <xf numFmtId="0" fontId="10" fillId="14" borderId="18" xfId="0" applyFont="1" applyFill="1" applyBorder="1" applyAlignment="1">
      <alignment horizontal="center" vertical="center" wrapText="1"/>
    </xf>
    <xf numFmtId="3" fontId="0" fillId="14" borderId="0" xfId="0" applyNumberFormat="1" applyFill="1" applyBorder="1" applyAlignment="1">
      <alignment horizontal="center" vertical="center" wrapText="1"/>
    </xf>
    <xf numFmtId="0" fontId="0" fillId="14" borderId="18" xfId="0" applyFont="1" applyFill="1" applyBorder="1" applyAlignment="1">
      <alignment horizontal="center" wrapText="1"/>
    </xf>
    <xf numFmtId="3" fontId="0" fillId="14" borderId="0" xfId="0" applyNumberFormat="1" applyFill="1" applyBorder="1" applyAlignment="1">
      <alignment wrapText="1"/>
    </xf>
    <xf numFmtId="3" fontId="10" fillId="14" borderId="0" xfId="0" applyNumberFormat="1" applyFont="1" applyFill="1" applyBorder="1" applyAlignment="1">
      <alignment horizontal="center" vertical="center" wrapText="1"/>
    </xf>
    <xf numFmtId="10" fontId="0" fillId="14" borderId="0" xfId="0" applyNumberFormat="1" applyFill="1" applyBorder="1" applyAlignment="1">
      <alignment horizontal="center" vertical="center" wrapText="1"/>
    </xf>
    <xf numFmtId="167" fontId="0" fillId="14" borderId="0" xfId="0" applyNumberFormat="1" applyFill="1" applyBorder="1" applyAlignment="1">
      <alignment horizontal="center" vertical="center" wrapText="1"/>
    </xf>
    <xf numFmtId="0" fontId="0" fillId="14" borderId="0" xfId="0" applyFill="1" applyBorder="1" applyAlignment="1">
      <alignment horizontal="center" wrapText="1"/>
    </xf>
    <xf numFmtId="0" fontId="0" fillId="14" borderId="19" xfId="0" applyFill="1" applyBorder="1" applyAlignment="1">
      <alignment horizontal="center" wrapText="1"/>
    </xf>
    <xf numFmtId="0" fontId="0" fillId="14" borderId="18" xfId="0" applyFont="1" applyFill="1" applyBorder="1" applyAlignment="1">
      <alignment horizontal="left" wrapText="1"/>
    </xf>
    <xf numFmtId="0" fontId="0" fillId="0" borderId="20" xfId="0" applyBorder="1" applyAlignment="1">
      <alignment wrapText="1"/>
    </xf>
    <xf numFmtId="0" fontId="19" fillId="14" borderId="21" xfId="0" applyFont="1" applyFill="1" applyBorder="1" applyAlignment="1">
      <alignment horizontal="center" wrapText="1"/>
    </xf>
    <xf numFmtId="0" fontId="0" fillId="14" borderId="21" xfId="0" applyFill="1" applyBorder="1" applyAlignment="1">
      <alignment wrapText="1"/>
    </xf>
    <xf numFmtId="0" fontId="10" fillId="14" borderId="21" xfId="0" applyFont="1" applyFill="1" applyBorder="1" applyAlignment="1">
      <alignment horizontal="center" vertical="center" wrapText="1"/>
    </xf>
    <xf numFmtId="0" fontId="0" fillId="0" borderId="18" xfId="0" applyBorder="1" applyAlignment="1">
      <alignment/>
    </xf>
    <xf numFmtId="0" fontId="0" fillId="14" borderId="21" xfId="0" applyFill="1" applyBorder="1" applyAlignment="1">
      <alignment horizontal="center" vertical="center" wrapText="1"/>
    </xf>
    <xf numFmtId="0" fontId="0" fillId="14" borderId="21" xfId="0" applyFill="1" applyBorder="1" applyAlignment="1">
      <alignment/>
    </xf>
    <xf numFmtId="2" fontId="0" fillId="14" borderId="21" xfId="0" applyNumberFormat="1" applyFill="1" applyBorder="1" applyAlignment="1">
      <alignment horizontal="center" wrapText="1"/>
    </xf>
    <xf numFmtId="0" fontId="0" fillId="14" borderId="21" xfId="0" applyFill="1" applyBorder="1" applyAlignment="1">
      <alignment horizontal="center" wrapText="1"/>
    </xf>
    <xf numFmtId="2" fontId="10" fillId="14" borderId="21" xfId="0" applyNumberFormat="1" applyFont="1" applyFill="1" applyBorder="1" applyAlignment="1">
      <alignment horizontal="center" vertical="center" wrapText="1"/>
    </xf>
    <xf numFmtId="2" fontId="0" fillId="14" borderId="21" xfId="0" applyNumberFormat="1" applyFill="1" applyBorder="1" applyAlignment="1">
      <alignment/>
    </xf>
    <xf numFmtId="2" fontId="0" fillId="14" borderId="21" xfId="0" applyNumberFormat="1" applyFill="1" applyBorder="1" applyAlignment="1">
      <alignment horizontal="center" vertical="center" wrapText="1"/>
    </xf>
    <xf numFmtId="2" fontId="0" fillId="14" borderId="0" xfId="0" applyNumberFormat="1" applyFill="1" applyBorder="1" applyAlignment="1">
      <alignment horizontal="center" wrapText="1"/>
    </xf>
    <xf numFmtId="165" fontId="0" fillId="14" borderId="0" xfId="0" applyNumberFormat="1" applyFill="1" applyBorder="1" applyAlignment="1">
      <alignment horizontal="center" wrapText="1"/>
    </xf>
    <xf numFmtId="0" fontId="0" fillId="14" borderId="0" xfId="0" applyFill="1" applyAlignment="1">
      <alignment/>
    </xf>
    <xf numFmtId="0" fontId="0" fillId="14" borderId="7" xfId="0" applyFill="1" applyBorder="1" applyAlignment="1">
      <alignment/>
    </xf>
    <xf numFmtId="0" fontId="0" fillId="14" borderId="22" xfId="0" applyFill="1" applyBorder="1" applyAlignment="1">
      <alignment/>
    </xf>
    <xf numFmtId="0" fontId="0" fillId="14" borderId="19" xfId="0" applyFill="1" applyBorder="1" applyAlignment="1">
      <alignment/>
    </xf>
    <xf numFmtId="0" fontId="0" fillId="14" borderId="11" xfId="0" applyFont="1" applyFill="1" applyBorder="1" applyAlignment="1">
      <alignment horizontal="left" wrapText="1"/>
    </xf>
    <xf numFmtId="0" fontId="0" fillId="14" borderId="11" xfId="0" applyFill="1" applyBorder="1" applyAlignment="1">
      <alignment/>
    </xf>
    <xf numFmtId="0" fontId="0" fillId="0" borderId="20" xfId="0" applyFill="1" applyBorder="1" applyAlignment="1">
      <alignment horizontal="center" wrapText="1"/>
    </xf>
    <xf numFmtId="0" fontId="0" fillId="0" borderId="0" xfId="0" applyFont="1" applyFill="1" applyBorder="1" applyAlignment="1">
      <alignment horizontal="left" wrapText="1"/>
    </xf>
    <xf numFmtId="0" fontId="10" fillId="4" borderId="23" xfId="0" applyFont="1" applyFill="1" applyBorder="1" applyAlignment="1">
      <alignment horizontal="center" wrapText="1"/>
    </xf>
    <xf numFmtId="0" fontId="10" fillId="4" borderId="3" xfId="0" applyFont="1" applyFill="1" applyBorder="1" applyAlignment="1">
      <alignment horizontal="center" wrapText="1"/>
    </xf>
    <xf numFmtId="0" fontId="10" fillId="4" borderId="24" xfId="0" applyFont="1" applyFill="1" applyBorder="1" applyAlignment="1">
      <alignment horizontal="center" wrapText="1"/>
    </xf>
    <xf numFmtId="0" fontId="10" fillId="16" borderId="23" xfId="0" applyFont="1" applyFill="1" applyBorder="1" applyAlignment="1">
      <alignment horizontal="center" wrapText="1"/>
    </xf>
    <xf numFmtId="0" fontId="10" fillId="16" borderId="3" xfId="0" applyFont="1" applyFill="1" applyBorder="1" applyAlignment="1">
      <alignment horizontal="center" wrapText="1"/>
    </xf>
    <xf numFmtId="0" fontId="10" fillId="16" borderId="24" xfId="0" applyFont="1" applyFill="1" applyBorder="1" applyAlignment="1">
      <alignment horizontal="center" wrapText="1"/>
    </xf>
    <xf numFmtId="10" fontId="0" fillId="4" borderId="3" xfId="0" applyNumberFormat="1" applyFill="1" applyBorder="1" applyAlignment="1">
      <alignment horizontal="center" wrapText="1"/>
    </xf>
    <xf numFmtId="10" fontId="0" fillId="4" borderId="24" xfId="0" applyNumberFormat="1" applyFill="1" applyBorder="1" applyAlignment="1">
      <alignment horizontal="center"/>
    </xf>
    <xf numFmtId="0" fontId="0" fillId="0" borderId="0" xfId="0" applyBorder="1" applyAlignment="1">
      <alignment horizontal="center"/>
    </xf>
    <xf numFmtId="2" fontId="0" fillId="16" borderId="3" xfId="0" applyNumberFormat="1" applyFill="1" applyBorder="1" applyAlignment="1">
      <alignment horizontal="center" wrapText="1"/>
    </xf>
    <xf numFmtId="10" fontId="0" fillId="16" borderId="3" xfId="0" applyNumberFormat="1" applyFill="1" applyBorder="1" applyAlignment="1">
      <alignment horizontal="center" wrapText="1"/>
    </xf>
    <xf numFmtId="10" fontId="0" fillId="16" borderId="24" xfId="0" applyNumberFormat="1" applyFill="1" applyBorder="1" applyAlignment="1">
      <alignment horizontal="center"/>
    </xf>
    <xf numFmtId="2" fontId="0" fillId="0" borderId="25" xfId="0" applyNumberFormat="1" applyBorder="1" applyAlignment="1">
      <alignment horizontal="center"/>
    </xf>
    <xf numFmtId="0" fontId="0" fillId="0" borderId="25" xfId="0" applyBorder="1" applyAlignment="1">
      <alignment horizontal="center"/>
    </xf>
    <xf numFmtId="10" fontId="0" fillId="0" borderId="0" xfId="0" applyNumberFormat="1" applyBorder="1" applyAlignment="1">
      <alignment horizontal="center" wrapText="1"/>
    </xf>
    <xf numFmtId="10" fontId="0" fillId="0" borderId="25" xfId="0" applyNumberFormat="1" applyBorder="1" applyAlignment="1">
      <alignment horizontal="center" wrapText="1"/>
    </xf>
    <xf numFmtId="10" fontId="0" fillId="4" borderId="24" xfId="0" applyNumberFormat="1" applyFill="1" applyBorder="1" applyAlignment="1">
      <alignment horizontal="center" wrapText="1"/>
    </xf>
    <xf numFmtId="0" fontId="22" fillId="4" borderId="26" xfId="0" applyFont="1" applyFill="1" applyBorder="1" applyAlignment="1">
      <alignment horizontal="center" wrapText="1"/>
    </xf>
    <xf numFmtId="0" fontId="0" fillId="4" borderId="27" xfId="0" applyFill="1" applyBorder="1" applyAlignment="1">
      <alignment horizontal="center" wrapText="1"/>
    </xf>
    <xf numFmtId="0" fontId="0" fillId="4" borderId="27" xfId="0" applyFill="1" applyBorder="1" applyAlignment="1">
      <alignment horizontal="center"/>
    </xf>
    <xf numFmtId="2" fontId="22" fillId="4" borderId="27" xfId="0" applyNumberFormat="1" applyFont="1" applyFill="1" applyBorder="1" applyAlignment="1">
      <alignment horizontal="center"/>
    </xf>
    <xf numFmtId="10" fontId="22" fillId="4" borderId="28" xfId="0" applyNumberFormat="1" applyFont="1" applyFill="1" applyBorder="1" applyAlignment="1">
      <alignment horizontal="center"/>
    </xf>
    <xf numFmtId="0" fontId="22" fillId="0" borderId="7" xfId="0" applyFont="1" applyBorder="1" applyAlignment="1">
      <alignment wrapText="1"/>
    </xf>
    <xf numFmtId="0" fontId="22" fillId="16" borderId="29" xfId="0" applyFont="1" applyFill="1" applyBorder="1" applyAlignment="1">
      <alignment wrapText="1"/>
    </xf>
    <xf numFmtId="0" fontId="22" fillId="16" borderId="12" xfId="0" applyFont="1" applyFill="1" applyBorder="1" applyAlignment="1">
      <alignment horizontal="center" wrapText="1"/>
    </xf>
    <xf numFmtId="2" fontId="22" fillId="16" borderId="12" xfId="0" applyNumberFormat="1" applyFont="1" applyFill="1" applyBorder="1" applyAlignment="1">
      <alignment horizontal="center" wrapText="1"/>
    </xf>
    <xf numFmtId="10" fontId="22" fillId="16" borderId="30" xfId="0" applyNumberFormat="1" applyFont="1" applyFill="1" applyBorder="1" applyAlignment="1">
      <alignment horizontal="center" wrapText="1"/>
    </xf>
    <xf numFmtId="0" fontId="10" fillId="17" borderId="23" xfId="0" applyFont="1" applyFill="1" applyBorder="1" applyAlignment="1">
      <alignment horizontal="center" wrapText="1"/>
    </xf>
    <xf numFmtId="0" fontId="10" fillId="17" borderId="3" xfId="0" applyFont="1" applyFill="1" applyBorder="1" applyAlignment="1">
      <alignment horizontal="center" wrapText="1"/>
    </xf>
    <xf numFmtId="0" fontId="10" fillId="17" borderId="24" xfId="0" applyFont="1" applyFill="1" applyBorder="1" applyAlignment="1">
      <alignment horizontal="center" wrapText="1"/>
    </xf>
    <xf numFmtId="0" fontId="10" fillId="18" borderId="31" xfId="0" applyFont="1" applyFill="1" applyBorder="1" applyAlignment="1">
      <alignment horizontal="center" wrapText="1"/>
    </xf>
    <xf numFmtId="0" fontId="10" fillId="18" borderId="3" xfId="0" applyFont="1" applyFill="1" applyBorder="1" applyAlignment="1">
      <alignment horizontal="center" wrapText="1"/>
    </xf>
    <xf numFmtId="0" fontId="10" fillId="18" borderId="4" xfId="0" applyFont="1" applyFill="1" applyBorder="1" applyAlignment="1">
      <alignment horizontal="center" wrapText="1"/>
    </xf>
    <xf numFmtId="2" fontId="0" fillId="17" borderId="3" xfId="0" applyNumberFormat="1" applyFill="1" applyBorder="1" applyAlignment="1">
      <alignment horizontal="center" wrapText="1"/>
    </xf>
    <xf numFmtId="10" fontId="0" fillId="17" borderId="3" xfId="0" applyNumberFormat="1" applyFill="1" applyBorder="1" applyAlignment="1">
      <alignment horizontal="center" wrapText="1"/>
    </xf>
    <xf numFmtId="10" fontId="0" fillId="17" borderId="24" xfId="0" applyNumberFormat="1" applyFill="1" applyBorder="1" applyAlignment="1">
      <alignment horizontal="center" wrapText="1"/>
    </xf>
    <xf numFmtId="2" fontId="0" fillId="18" borderId="3" xfId="0" applyNumberFormat="1" applyFill="1" applyBorder="1" applyAlignment="1">
      <alignment horizontal="center"/>
    </xf>
    <xf numFmtId="10" fontId="0" fillId="18" borderId="3" xfId="0" applyNumberFormat="1" applyFill="1" applyBorder="1" applyAlignment="1">
      <alignment horizontal="center" wrapText="1"/>
    </xf>
    <xf numFmtId="2" fontId="0" fillId="18" borderId="3" xfId="0" applyNumberFormat="1" applyFill="1" applyBorder="1" applyAlignment="1">
      <alignment horizontal="center" wrapText="1"/>
    </xf>
    <xf numFmtId="10" fontId="0" fillId="18" borderId="4" xfId="0" applyNumberFormat="1" applyFill="1" applyBorder="1" applyAlignment="1">
      <alignment horizontal="center" wrapText="1"/>
    </xf>
    <xf numFmtId="0" fontId="10" fillId="0" borderId="25" xfId="0" applyFont="1" applyBorder="1" applyAlignment="1">
      <alignment horizontal="center" wrapText="1"/>
    </xf>
    <xf numFmtId="0" fontId="22" fillId="17" borderId="26" xfId="0" applyFont="1" applyFill="1" applyBorder="1" applyAlignment="1">
      <alignment horizontal="center" wrapText="1"/>
    </xf>
    <xf numFmtId="0" fontId="0" fillId="17" borderId="27" xfId="0" applyFill="1" applyBorder="1" applyAlignment="1">
      <alignment horizontal="center" wrapText="1"/>
    </xf>
    <xf numFmtId="10" fontId="0" fillId="17" borderId="27" xfId="0" applyNumberFormat="1" applyFill="1" applyBorder="1" applyAlignment="1">
      <alignment horizontal="center" wrapText="1"/>
    </xf>
    <xf numFmtId="2" fontId="22" fillId="17" borderId="27" xfId="0" applyNumberFormat="1" applyFont="1" applyFill="1" applyBorder="1" applyAlignment="1">
      <alignment horizontal="center" wrapText="1"/>
    </xf>
    <xf numFmtId="10" fontId="22" fillId="17" borderId="28" xfId="0" applyNumberFormat="1" applyFont="1" applyFill="1" applyBorder="1" applyAlignment="1">
      <alignment horizontal="center" wrapText="1"/>
    </xf>
    <xf numFmtId="10" fontId="22" fillId="0" borderId="7" xfId="0" applyNumberFormat="1" applyFont="1" applyBorder="1" applyAlignment="1">
      <alignment horizontal="center" wrapText="1"/>
    </xf>
    <xf numFmtId="0" fontId="22" fillId="18" borderId="15" xfId="0" applyFont="1" applyFill="1" applyBorder="1" applyAlignment="1">
      <alignment horizontal="center" wrapText="1"/>
    </xf>
    <xf numFmtId="0" fontId="22" fillId="18" borderId="16" xfId="0" applyFont="1" applyFill="1" applyBorder="1" applyAlignment="1">
      <alignment horizontal="center" wrapText="1"/>
    </xf>
    <xf numFmtId="10" fontId="22" fillId="18" borderId="16" xfId="0" applyNumberFormat="1" applyFont="1" applyFill="1" applyBorder="1" applyAlignment="1">
      <alignment horizontal="center" wrapText="1"/>
    </xf>
    <xf numFmtId="2" fontId="22" fillId="18" borderId="16" xfId="0" applyNumberFormat="1" applyFont="1" applyFill="1" applyBorder="1" applyAlignment="1">
      <alignment horizontal="center" wrapText="1"/>
    </xf>
    <xf numFmtId="0" fontId="0" fillId="0" borderId="32" xfId="0" applyBorder="1" applyAlignment="1">
      <alignment/>
    </xf>
    <xf numFmtId="0" fontId="0" fillId="0" borderId="0" xfId="0" applyBorder="1" applyAlignment="1">
      <alignment horizontal="center" wrapText="1"/>
    </xf>
    <xf numFmtId="0" fontId="10" fillId="14" borderId="3" xfId="0" applyFont="1" applyFill="1" applyBorder="1" applyAlignment="1">
      <alignment wrapText="1"/>
    </xf>
    <xf numFmtId="0" fontId="10" fillId="14" borderId="3" xfId="0" applyFont="1" applyFill="1" applyBorder="1" applyAlignment="1">
      <alignment/>
    </xf>
    <xf numFmtId="0" fontId="0" fillId="14" borderId="3" xfId="0" applyFill="1" applyBorder="1" applyAlignment="1">
      <alignment/>
    </xf>
    <xf numFmtId="0" fontId="10" fillId="14" borderId="33" xfId="0" applyFont="1" applyFill="1" applyBorder="1" applyAlignment="1">
      <alignment/>
    </xf>
    <xf numFmtId="0" fontId="10" fillId="0" borderId="21" xfId="0" applyFont="1" applyBorder="1" applyAlignment="1">
      <alignment/>
    </xf>
    <xf numFmtId="0" fontId="10" fillId="13" borderId="3" xfId="0" applyFont="1" applyFill="1" applyBorder="1" applyAlignment="1">
      <alignment/>
    </xf>
    <xf numFmtId="0" fontId="10" fillId="13" borderId="3" xfId="0" applyFont="1" applyFill="1" applyBorder="1" applyAlignment="1">
      <alignment wrapText="1"/>
    </xf>
    <xf numFmtId="0" fontId="10" fillId="0" borderId="0" xfId="0" applyFont="1" applyAlignment="1">
      <alignment/>
    </xf>
    <xf numFmtId="2" fontId="0" fillId="14" borderId="3" xfId="0" applyNumberFormat="1" applyFill="1" applyBorder="1" applyAlignment="1">
      <alignment horizontal="center" wrapText="1"/>
    </xf>
    <xf numFmtId="10" fontId="0" fillId="14" borderId="3" xfId="0" applyNumberFormat="1" applyFill="1" applyBorder="1" applyAlignment="1">
      <alignment horizontal="center"/>
    </xf>
    <xf numFmtId="0" fontId="10" fillId="14" borderId="33" xfId="0" applyFont="1" applyFill="1" applyBorder="1" applyAlignment="1">
      <alignment wrapText="1"/>
    </xf>
    <xf numFmtId="0" fontId="0" fillId="0" borderId="21" xfId="0" applyBorder="1" applyAlignment="1">
      <alignment/>
    </xf>
    <xf numFmtId="2" fontId="0" fillId="13" borderId="3" xfId="0" applyNumberFormat="1" applyFill="1" applyBorder="1" applyAlignment="1">
      <alignment horizontal="center"/>
    </xf>
    <xf numFmtId="0" fontId="0" fillId="13" borderId="3" xfId="0" applyFont="1" applyFill="1" applyBorder="1" applyAlignment="1">
      <alignment/>
    </xf>
    <xf numFmtId="10" fontId="0" fillId="13" borderId="3" xfId="0" applyNumberFormat="1" applyFill="1" applyBorder="1" applyAlignment="1">
      <alignment horizontal="center"/>
    </xf>
    <xf numFmtId="0" fontId="10" fillId="14" borderId="12" xfId="0" applyFont="1" applyFill="1" applyBorder="1" applyAlignment="1">
      <alignment wrapText="1"/>
    </xf>
    <xf numFmtId="2" fontId="0" fillId="14" borderId="12" xfId="0" applyNumberFormat="1" applyFill="1" applyBorder="1" applyAlignment="1">
      <alignment horizontal="center" wrapText="1"/>
    </xf>
    <xf numFmtId="10" fontId="0" fillId="14" borderId="12" xfId="0" applyNumberFormat="1" applyFill="1" applyBorder="1" applyAlignment="1">
      <alignment horizontal="center"/>
    </xf>
    <xf numFmtId="0" fontId="10" fillId="14" borderId="34" xfId="0" applyFont="1" applyFill="1" applyBorder="1" applyAlignment="1">
      <alignment wrapText="1"/>
    </xf>
    <xf numFmtId="0" fontId="10" fillId="0" borderId="35" xfId="0" applyFont="1" applyBorder="1" applyAlignment="1">
      <alignment horizontal="center" wrapText="1"/>
    </xf>
    <xf numFmtId="0" fontId="0" fillId="0" borderId="35" xfId="0" applyBorder="1" applyAlignment="1">
      <alignment horizontal="center" wrapText="1"/>
    </xf>
    <xf numFmtId="0" fontId="0" fillId="0" borderId="35" xfId="0" applyBorder="1" applyAlignment="1">
      <alignment wrapText="1"/>
    </xf>
    <xf numFmtId="0" fontId="10" fillId="16" borderId="36" xfId="0" applyFont="1" applyFill="1" applyBorder="1" applyAlignment="1">
      <alignment horizontal="center" wrapText="1"/>
    </xf>
    <xf numFmtId="0" fontId="10" fillId="16" borderId="12" xfId="0" applyFont="1" applyFill="1" applyBorder="1" applyAlignment="1">
      <alignment horizontal="center" wrapText="1"/>
    </xf>
    <xf numFmtId="0" fontId="0" fillId="8" borderId="33" xfId="0" applyFont="1" applyFill="1" applyBorder="1" applyAlignment="1">
      <alignment wrapText="1"/>
    </xf>
    <xf numFmtId="9" fontId="0" fillId="8" borderId="37" xfId="0" applyNumberFormat="1" applyFill="1" applyBorder="1" applyAlignment="1">
      <alignment horizontal="center" wrapText="1"/>
    </xf>
    <xf numFmtId="168" fontId="0" fillId="8" borderId="37" xfId="0" applyNumberFormat="1" applyFill="1" applyBorder="1" applyAlignment="1">
      <alignment horizontal="center"/>
    </xf>
    <xf numFmtId="168" fontId="0" fillId="8" borderId="37" xfId="0" applyNumberFormat="1" applyFill="1" applyBorder="1" applyAlignment="1">
      <alignment horizontal="center" wrapText="1"/>
    </xf>
    <xf numFmtId="10" fontId="0" fillId="8" borderId="37" xfId="0" applyNumberFormat="1" applyFill="1" applyBorder="1" applyAlignment="1">
      <alignment horizontal="center" wrapText="1"/>
    </xf>
    <xf numFmtId="9" fontId="0" fillId="8" borderId="37" xfId="32" applyFont="1" applyFill="1" applyBorder="1" applyAlignment="1" applyProtection="1">
      <alignment horizontal="center" wrapText="1"/>
      <protection/>
    </xf>
    <xf numFmtId="0" fontId="0" fillId="8" borderId="37" xfId="0" applyNumberFormat="1" applyFill="1" applyBorder="1" applyAlignment="1">
      <alignment horizontal="center" wrapText="1"/>
    </xf>
    <xf numFmtId="3" fontId="0" fillId="8" borderId="37" xfId="0" applyNumberFormat="1" applyFill="1" applyBorder="1" applyAlignment="1">
      <alignment horizontal="center"/>
    </xf>
    <xf numFmtId="9" fontId="0" fillId="8" borderId="37" xfId="32" applyFont="1" applyFill="1" applyBorder="1" applyAlignment="1" applyProtection="1">
      <alignment horizontal="center"/>
      <protection/>
    </xf>
    <xf numFmtId="0" fontId="10" fillId="8" borderId="33" xfId="0" applyFont="1" applyFill="1" applyBorder="1" applyAlignment="1">
      <alignment horizontal="center" wrapText="1"/>
    </xf>
    <xf numFmtId="10" fontId="0" fillId="8" borderId="37" xfId="0" applyNumberFormat="1" applyFill="1" applyBorder="1" applyAlignment="1">
      <alignment horizontal="center"/>
    </xf>
    <xf numFmtId="9" fontId="0" fillId="8" borderId="37" xfId="0" applyNumberFormat="1" applyFill="1" applyBorder="1" applyAlignment="1">
      <alignment horizontal="center"/>
    </xf>
    <xf numFmtId="10" fontId="0" fillId="8" borderId="37" xfId="0" applyNumberFormat="1" applyFill="1" applyBorder="1" applyAlignment="1">
      <alignment/>
    </xf>
    <xf numFmtId="0" fontId="0" fillId="8" borderId="0" xfId="0" applyFill="1" applyAlignment="1">
      <alignment/>
    </xf>
    <xf numFmtId="2" fontId="0" fillId="0" borderId="32" xfId="0" applyNumberFormat="1" applyBorder="1" applyAlignment="1">
      <alignment horizontal="center" wrapText="1"/>
    </xf>
    <xf numFmtId="39" fontId="0" fillId="0" borderId="32" xfId="15" applyNumberFormat="1" applyFont="1" applyFill="1" applyBorder="1" applyAlignment="1" applyProtection="1">
      <alignment horizontal="center"/>
      <protection/>
    </xf>
    <xf numFmtId="172" fontId="0" fillId="0" borderId="32" xfId="15" applyFont="1" applyFill="1" applyBorder="1" applyAlignment="1" applyProtection="1">
      <alignment horizontal="center"/>
      <protection/>
    </xf>
    <xf numFmtId="9" fontId="0" fillId="0" borderId="0" xfId="0" applyNumberFormat="1" applyAlignment="1">
      <alignment/>
    </xf>
    <xf numFmtId="0" fontId="0" fillId="19" borderId="38" xfId="0" applyFont="1" applyFill="1" applyBorder="1" applyAlignment="1">
      <alignment horizontal="left" wrapText="1"/>
    </xf>
    <xf numFmtId="0" fontId="0" fillId="19" borderId="39" xfId="0" applyFont="1" applyFill="1" applyBorder="1" applyAlignment="1">
      <alignment horizontal="left" wrapText="1"/>
    </xf>
    <xf numFmtId="0" fontId="0" fillId="4" borderId="0" xfId="0" applyFont="1" applyFill="1" applyAlignment="1">
      <alignment horizontal="left" wrapText="1"/>
    </xf>
    <xf numFmtId="0" fontId="0" fillId="19" borderId="31" xfId="0" applyFont="1" applyFill="1" applyBorder="1" applyAlignment="1">
      <alignment horizontal="left" wrapText="1"/>
    </xf>
    <xf numFmtId="0" fontId="0" fillId="19" borderId="3" xfId="0" applyFont="1" applyFill="1" applyBorder="1" applyAlignment="1">
      <alignment horizontal="left" wrapText="1"/>
    </xf>
    <xf numFmtId="0" fontId="0" fillId="7" borderId="3" xfId="0" applyFill="1" applyBorder="1" applyAlignment="1">
      <alignment horizontal="left" wrapText="1"/>
    </xf>
    <xf numFmtId="0" fontId="0" fillId="6" borderId="3" xfId="0" applyFill="1" applyBorder="1" applyAlignment="1">
      <alignment horizontal="left" wrapText="1"/>
    </xf>
    <xf numFmtId="0" fontId="0" fillId="2" borderId="3" xfId="0" applyFill="1" applyBorder="1" applyAlignment="1">
      <alignment wrapText="1"/>
    </xf>
    <xf numFmtId="0" fontId="0" fillId="2" borderId="3" xfId="0" applyFill="1" applyBorder="1" applyAlignment="1">
      <alignment horizontal="left" wrapText="1"/>
    </xf>
    <xf numFmtId="0" fontId="0" fillId="4" borderId="0" xfId="0" applyFill="1" applyAlignment="1">
      <alignment/>
    </xf>
    <xf numFmtId="0" fontId="26" fillId="19" borderId="31" xfId="0" applyFont="1" applyFill="1" applyBorder="1" applyAlignment="1">
      <alignment horizontal="left" wrapText="1"/>
    </xf>
    <xf numFmtId="0" fontId="0" fillId="7" borderId="3" xfId="0" applyFill="1" applyBorder="1" applyAlignment="1">
      <alignment/>
    </xf>
    <xf numFmtId="0" fontId="0" fillId="6" borderId="3" xfId="0" applyFill="1" applyBorder="1" applyAlignment="1">
      <alignment/>
    </xf>
    <xf numFmtId="0" fontId="0" fillId="2" borderId="3" xfId="0" applyFill="1" applyBorder="1" applyAlignment="1">
      <alignment/>
    </xf>
    <xf numFmtId="0" fontId="0" fillId="4" borderId="40" xfId="0" applyFont="1" applyFill="1" applyBorder="1" applyAlignment="1">
      <alignment/>
    </xf>
    <xf numFmtId="0" fontId="0" fillId="4" borderId="40" xfId="0" applyFill="1" applyBorder="1" applyAlignment="1">
      <alignment/>
    </xf>
    <xf numFmtId="9" fontId="0" fillId="4" borderId="14" xfId="0" applyNumberFormat="1" applyFill="1" applyBorder="1" applyAlignment="1">
      <alignment/>
    </xf>
    <xf numFmtId="0" fontId="0" fillId="19" borderId="31" xfId="0" applyFont="1" applyFill="1" applyBorder="1" applyAlignment="1">
      <alignment wrapText="1"/>
    </xf>
    <xf numFmtId="0" fontId="0" fillId="19" borderId="3" xfId="0" applyFont="1" applyFill="1" applyBorder="1" applyAlignment="1">
      <alignment horizontal="right" wrapText="1"/>
    </xf>
    <xf numFmtId="16" fontId="0" fillId="19" borderId="3" xfId="0" applyNumberFormat="1" applyFont="1" applyFill="1" applyBorder="1" applyAlignment="1">
      <alignment horizontal="right" wrapText="1"/>
    </xf>
    <xf numFmtId="0" fontId="0" fillId="19" borderId="3" xfId="0" applyFill="1" applyBorder="1" applyAlignment="1">
      <alignment horizontal="right"/>
    </xf>
    <xf numFmtId="0" fontId="0" fillId="19" borderId="3" xfId="0" applyFill="1" applyBorder="1" applyAlignment="1">
      <alignment/>
    </xf>
    <xf numFmtId="2" fontId="0" fillId="19" borderId="3" xfId="0" applyNumberFormat="1" applyFill="1" applyBorder="1" applyAlignment="1">
      <alignment/>
    </xf>
    <xf numFmtId="2" fontId="0" fillId="7" borderId="3" xfId="0" applyNumberFormat="1" applyFill="1" applyBorder="1" applyAlignment="1">
      <alignment/>
    </xf>
    <xf numFmtId="2" fontId="0" fillId="6" borderId="3" xfId="0" applyNumberFormat="1" applyFill="1" applyBorder="1" applyAlignment="1">
      <alignment/>
    </xf>
    <xf numFmtId="2" fontId="0" fillId="2" borderId="3" xfId="0" applyNumberFormat="1" applyFill="1" applyBorder="1" applyAlignment="1">
      <alignment/>
    </xf>
    <xf numFmtId="0" fontId="0" fillId="4" borderId="0" xfId="0" applyFont="1" applyFill="1" applyBorder="1" applyAlignment="1">
      <alignment/>
    </xf>
    <xf numFmtId="0" fontId="0" fillId="4" borderId="0" xfId="0" applyFill="1" applyBorder="1" applyAlignment="1">
      <alignment/>
    </xf>
    <xf numFmtId="9" fontId="0" fillId="4" borderId="41" xfId="0" applyNumberFormat="1" applyFill="1" applyBorder="1" applyAlignment="1">
      <alignment/>
    </xf>
    <xf numFmtId="9" fontId="0" fillId="4" borderId="0" xfId="0" applyNumberFormat="1" applyFill="1" applyBorder="1" applyAlignment="1">
      <alignment/>
    </xf>
    <xf numFmtId="1" fontId="0" fillId="7" borderId="3" xfId="0" applyNumberFormat="1" applyFill="1" applyBorder="1" applyAlignment="1">
      <alignment/>
    </xf>
    <xf numFmtId="17" fontId="0" fillId="19" borderId="3" xfId="0" applyNumberFormat="1" applyFont="1" applyFill="1" applyBorder="1" applyAlignment="1">
      <alignment horizontal="right" wrapText="1"/>
    </xf>
    <xf numFmtId="2" fontId="0" fillId="19" borderId="3" xfId="0" applyNumberFormat="1" applyFont="1" applyFill="1" applyBorder="1" applyAlignment="1">
      <alignment horizontal="right" wrapText="1"/>
    </xf>
    <xf numFmtId="2" fontId="0" fillId="19" borderId="3" xfId="0" applyNumberFormat="1" applyFill="1" applyBorder="1" applyAlignment="1">
      <alignment horizontal="right"/>
    </xf>
    <xf numFmtId="169" fontId="0" fillId="7" borderId="3" xfId="0" applyNumberFormat="1" applyFill="1" applyBorder="1" applyAlignment="1">
      <alignment/>
    </xf>
    <xf numFmtId="169" fontId="0" fillId="6" borderId="3" xfId="0" applyNumberFormat="1" applyFill="1" applyBorder="1" applyAlignment="1">
      <alignment/>
    </xf>
    <xf numFmtId="169" fontId="0" fillId="2" borderId="3" xfId="0" applyNumberFormat="1" applyFill="1" applyBorder="1" applyAlignment="1">
      <alignment/>
    </xf>
    <xf numFmtId="0" fontId="0" fillId="4" borderId="7" xfId="0" applyFill="1" applyBorder="1" applyAlignment="1">
      <alignment/>
    </xf>
    <xf numFmtId="0" fontId="0" fillId="4" borderId="17" xfId="0" applyFill="1" applyBorder="1" applyAlignment="1">
      <alignment/>
    </xf>
    <xf numFmtId="0" fontId="26" fillId="19" borderId="31" xfId="0" applyFont="1" applyFill="1" applyBorder="1" applyAlignment="1">
      <alignment wrapText="1"/>
    </xf>
    <xf numFmtId="165" fontId="0" fillId="7" borderId="3" xfId="0" applyNumberFormat="1" applyFill="1" applyBorder="1" applyAlignment="1">
      <alignment/>
    </xf>
    <xf numFmtId="165" fontId="0" fillId="19" borderId="3" xfId="0" applyNumberFormat="1" applyFill="1" applyBorder="1" applyAlignment="1">
      <alignment horizontal="right" wrapText="1"/>
    </xf>
    <xf numFmtId="0" fontId="0" fillId="0" borderId="0" xfId="0" applyFill="1" applyBorder="1" applyAlignment="1">
      <alignment/>
    </xf>
    <xf numFmtId="16" fontId="0" fillId="19" borderId="3" xfId="0" applyNumberFormat="1" applyFont="1" applyFill="1" applyBorder="1" applyAlignment="1">
      <alignment horizontal="right"/>
    </xf>
    <xf numFmtId="2" fontId="0" fillId="0" borderId="0" xfId="0" applyNumberFormat="1" applyFill="1" applyBorder="1" applyAlignment="1">
      <alignment/>
    </xf>
    <xf numFmtId="16" fontId="0" fillId="19" borderId="3" xfId="0" applyNumberFormat="1" applyFill="1" applyBorder="1" applyAlignment="1">
      <alignment horizontal="right" wrapText="1"/>
    </xf>
    <xf numFmtId="16" fontId="0" fillId="19" borderId="3" xfId="0" applyNumberFormat="1" applyFill="1" applyBorder="1" applyAlignment="1">
      <alignment horizontal="right"/>
    </xf>
    <xf numFmtId="0" fontId="0" fillId="19" borderId="3" xfId="0" applyFill="1" applyBorder="1" applyAlignment="1">
      <alignment wrapText="1"/>
    </xf>
    <xf numFmtId="0" fontId="0" fillId="3" borderId="3" xfId="0" applyFont="1" applyFill="1" applyBorder="1" applyAlignment="1">
      <alignment/>
    </xf>
    <xf numFmtId="0" fontId="0" fillId="3" borderId="3" xfId="0" applyFont="1" applyFill="1" applyBorder="1" applyAlignment="1">
      <alignment wrapText="1"/>
    </xf>
    <xf numFmtId="0" fontId="27" fillId="19" borderId="3" xfId="0" applyFont="1" applyFill="1" applyBorder="1" applyAlignment="1">
      <alignment horizontal="right" wrapText="1"/>
    </xf>
    <xf numFmtId="0" fontId="0" fillId="3" borderId="3" xfId="0" applyFill="1" applyBorder="1" applyAlignment="1">
      <alignment horizontal="right" wrapText="1"/>
    </xf>
    <xf numFmtId="16" fontId="27" fillId="19" borderId="3" xfId="0" applyNumberFormat="1" applyFont="1" applyFill="1" applyBorder="1" applyAlignment="1">
      <alignment horizontal="right" wrapText="1"/>
    </xf>
    <xf numFmtId="2" fontId="27" fillId="19" borderId="3" xfId="0" applyNumberFormat="1" applyFont="1" applyFill="1" applyBorder="1" applyAlignment="1">
      <alignment horizontal="right" wrapText="1"/>
    </xf>
    <xf numFmtId="0" fontId="0" fillId="19" borderId="15" xfId="0" applyFont="1" applyFill="1" applyBorder="1" applyAlignment="1">
      <alignment wrapText="1"/>
    </xf>
    <xf numFmtId="0" fontId="0" fillId="19" borderId="16" xfId="0" applyFill="1" applyBorder="1" applyAlignment="1">
      <alignment horizontal="right"/>
    </xf>
    <xf numFmtId="0" fontId="0" fillId="19" borderId="16" xfId="0" applyFill="1" applyBorder="1" applyAlignment="1">
      <alignment/>
    </xf>
    <xf numFmtId="0" fontId="0" fillId="8" borderId="42" xfId="0" applyFill="1" applyBorder="1" applyAlignment="1">
      <alignment/>
    </xf>
    <xf numFmtId="0" fontId="0" fillId="8" borderId="40" xfId="0" applyFill="1" applyBorder="1" applyAlignment="1">
      <alignment/>
    </xf>
    <xf numFmtId="0" fontId="0" fillId="8" borderId="14" xfId="0" applyFill="1" applyBorder="1" applyAlignment="1">
      <alignment/>
    </xf>
    <xf numFmtId="0" fontId="0" fillId="15" borderId="42" xfId="0" applyFill="1" applyBorder="1" applyAlignment="1">
      <alignment/>
    </xf>
    <xf numFmtId="0" fontId="0" fillId="15" borderId="40" xfId="0" applyFill="1" applyBorder="1" applyAlignment="1">
      <alignment/>
    </xf>
    <xf numFmtId="0" fontId="0" fillId="15" borderId="14" xfId="0" applyFill="1" applyBorder="1" applyAlignment="1">
      <alignment/>
    </xf>
    <xf numFmtId="0" fontId="22" fillId="8" borderId="43" xfId="0" applyFont="1" applyFill="1" applyBorder="1" applyAlignment="1">
      <alignment/>
    </xf>
    <xf numFmtId="0" fontId="0" fillId="8" borderId="35" xfId="0" applyFill="1" applyBorder="1" applyAlignment="1">
      <alignment/>
    </xf>
    <xf numFmtId="0" fontId="0" fillId="8" borderId="44" xfId="0" applyFill="1" applyBorder="1" applyAlignment="1">
      <alignment/>
    </xf>
    <xf numFmtId="0" fontId="22" fillId="15" borderId="43" xfId="0" applyFont="1" applyFill="1" applyBorder="1" applyAlignment="1">
      <alignment/>
    </xf>
    <xf numFmtId="0" fontId="0" fillId="15" borderId="35" xfId="0" applyFill="1" applyBorder="1" applyAlignment="1">
      <alignment/>
    </xf>
    <xf numFmtId="0" fontId="0" fillId="15" borderId="41" xfId="0" applyFill="1" applyBorder="1" applyAlignment="1">
      <alignment/>
    </xf>
    <xf numFmtId="0" fontId="10" fillId="8" borderId="45" xfId="0" applyFont="1" applyFill="1" applyBorder="1" applyAlignment="1">
      <alignment/>
    </xf>
    <xf numFmtId="0" fontId="0" fillId="8" borderId="0" xfId="0" applyFill="1" applyBorder="1" applyAlignment="1">
      <alignment/>
    </xf>
    <xf numFmtId="0" fontId="0" fillId="8" borderId="41" xfId="0" applyFill="1" applyBorder="1" applyAlignment="1">
      <alignment/>
    </xf>
    <xf numFmtId="0" fontId="10" fillId="15" borderId="45" xfId="0" applyFont="1" applyFill="1" applyBorder="1" applyAlignment="1">
      <alignment/>
    </xf>
    <xf numFmtId="0" fontId="0" fillId="15" borderId="0" xfId="0" applyFill="1" applyBorder="1" applyAlignment="1">
      <alignment/>
    </xf>
    <xf numFmtId="0" fontId="0" fillId="8" borderId="45" xfId="0" applyFill="1" applyBorder="1" applyAlignment="1">
      <alignment/>
    </xf>
    <xf numFmtId="0" fontId="0" fillId="15" borderId="45" xfId="0" applyFill="1" applyBorder="1" applyAlignment="1">
      <alignment/>
    </xf>
    <xf numFmtId="175" fontId="0" fillId="8" borderId="0" xfId="0" applyNumberFormat="1" applyFill="1" applyBorder="1" applyAlignment="1">
      <alignment/>
    </xf>
    <xf numFmtId="175" fontId="0" fillId="8" borderId="41" xfId="0" applyNumberFormat="1" applyFill="1" applyBorder="1" applyAlignment="1">
      <alignment/>
    </xf>
    <xf numFmtId="175" fontId="0" fillId="15" borderId="0" xfId="0" applyNumberFormat="1" applyFill="1" applyBorder="1" applyAlignment="1">
      <alignment/>
    </xf>
    <xf numFmtId="0" fontId="30" fillId="8" borderId="45" xfId="0" applyFont="1" applyFill="1" applyBorder="1" applyAlignment="1">
      <alignment/>
    </xf>
    <xf numFmtId="0" fontId="22" fillId="15" borderId="45" xfId="0" applyFont="1" applyFill="1" applyBorder="1" applyAlignment="1">
      <alignment/>
    </xf>
    <xf numFmtId="40" fontId="0" fillId="8" borderId="0" xfId="0" applyNumberFormat="1" applyFill="1" applyBorder="1" applyAlignment="1">
      <alignment/>
    </xf>
    <xf numFmtId="40" fontId="0" fillId="15" borderId="0" xfId="0" applyNumberFormat="1" applyFill="1" applyBorder="1" applyAlignment="1">
      <alignment/>
    </xf>
    <xf numFmtId="2" fontId="0" fillId="8" borderId="0" xfId="0" applyNumberFormat="1" applyFill="1" applyBorder="1" applyAlignment="1">
      <alignment/>
    </xf>
    <xf numFmtId="2" fontId="0" fillId="15" borderId="0" xfId="0" applyNumberFormat="1" applyFill="1" applyBorder="1" applyAlignment="1">
      <alignment/>
    </xf>
    <xf numFmtId="0" fontId="22" fillId="8" borderId="45" xfId="0" applyFont="1" applyFill="1" applyBorder="1" applyAlignment="1">
      <alignment/>
    </xf>
    <xf numFmtId="0" fontId="0" fillId="20" borderId="0" xfId="0" applyFill="1" applyBorder="1" applyAlignment="1">
      <alignment/>
    </xf>
    <xf numFmtId="0" fontId="0" fillId="3" borderId="0" xfId="0" applyFill="1" applyBorder="1" applyAlignment="1">
      <alignment/>
    </xf>
    <xf numFmtId="3" fontId="0" fillId="8" borderId="0" xfId="0" applyNumberFormat="1" applyFill="1" applyBorder="1" applyAlignment="1">
      <alignment/>
    </xf>
    <xf numFmtId="3" fontId="0" fillId="15" borderId="0" xfId="0" applyNumberFormat="1" applyFill="1" applyBorder="1" applyAlignment="1">
      <alignment/>
    </xf>
    <xf numFmtId="0" fontId="0" fillId="15" borderId="46" xfId="0" applyFill="1" applyBorder="1" applyAlignment="1">
      <alignment/>
    </xf>
    <xf numFmtId="3" fontId="0" fillId="15" borderId="7" xfId="0" applyNumberFormat="1" applyFill="1" applyBorder="1" applyAlignment="1">
      <alignment/>
    </xf>
    <xf numFmtId="0" fontId="0" fillId="15" borderId="7" xfId="0" applyFill="1" applyBorder="1" applyAlignment="1">
      <alignment/>
    </xf>
    <xf numFmtId="175" fontId="0" fillId="15" borderId="7" xfId="0" applyNumberFormat="1" applyFill="1" applyBorder="1" applyAlignment="1">
      <alignment/>
    </xf>
    <xf numFmtId="0" fontId="0" fillId="15" borderId="17" xfId="0" applyFill="1" applyBorder="1" applyAlignment="1">
      <alignment/>
    </xf>
    <xf numFmtId="176" fontId="0" fillId="8" borderId="0" xfId="17" applyFont="1" applyFill="1" applyBorder="1" applyAlignment="1" applyProtection="1">
      <alignment/>
      <protection/>
    </xf>
    <xf numFmtId="176" fontId="0" fillId="8" borderId="0" xfId="0" applyNumberFormat="1" applyFill="1" applyBorder="1" applyAlignment="1">
      <alignment/>
    </xf>
    <xf numFmtId="0" fontId="31" fillId="8" borderId="45" xfId="0" applyFont="1" applyFill="1" applyBorder="1" applyAlignment="1">
      <alignment/>
    </xf>
    <xf numFmtId="3" fontId="31" fillId="8" borderId="0" xfId="0" applyNumberFormat="1" applyFont="1" applyFill="1" applyBorder="1" applyAlignment="1">
      <alignment/>
    </xf>
    <xf numFmtId="176" fontId="31" fillId="8" borderId="0" xfId="17" applyFont="1" applyFill="1" applyBorder="1" applyAlignment="1" applyProtection="1">
      <alignment/>
      <protection/>
    </xf>
    <xf numFmtId="0" fontId="31" fillId="8" borderId="0" xfId="0" applyFont="1" applyFill="1" applyBorder="1" applyAlignment="1">
      <alignment/>
    </xf>
    <xf numFmtId="175" fontId="31" fillId="8" borderId="41" xfId="0" applyNumberFormat="1" applyFont="1" applyFill="1" applyBorder="1" applyAlignment="1">
      <alignment/>
    </xf>
    <xf numFmtId="0" fontId="32" fillId="8" borderId="45" xfId="0" applyFont="1" applyFill="1" applyBorder="1" applyAlignment="1">
      <alignment/>
    </xf>
    <xf numFmtId="0" fontId="31" fillId="8" borderId="41" xfId="0" applyFont="1" applyFill="1" applyBorder="1" applyAlignment="1">
      <alignment/>
    </xf>
    <xf numFmtId="177" fontId="31" fillId="8" borderId="0" xfId="17" applyNumberFormat="1" applyFont="1" applyFill="1" applyBorder="1" applyAlignment="1" applyProtection="1">
      <alignment/>
      <protection/>
    </xf>
    <xf numFmtId="177" fontId="31" fillId="8" borderId="0" xfId="0" applyNumberFormat="1" applyFont="1" applyFill="1" applyBorder="1" applyAlignment="1">
      <alignment/>
    </xf>
    <xf numFmtId="0" fontId="31" fillId="8" borderId="46" xfId="0" applyFont="1" applyFill="1" applyBorder="1" applyAlignment="1">
      <alignment/>
    </xf>
    <xf numFmtId="3" fontId="31" fillId="8" borderId="7" xfId="0" applyNumberFormat="1" applyFont="1" applyFill="1" applyBorder="1" applyAlignment="1">
      <alignment/>
    </xf>
    <xf numFmtId="176" fontId="31" fillId="8" borderId="7" xfId="17" applyFont="1" applyFill="1" applyBorder="1" applyAlignment="1" applyProtection="1">
      <alignment/>
      <protection/>
    </xf>
    <xf numFmtId="0" fontId="31" fillId="8" borderId="7" xfId="0" applyFont="1" applyFill="1" applyBorder="1" applyAlignment="1">
      <alignment/>
    </xf>
    <xf numFmtId="175" fontId="31" fillId="8" borderId="17" xfId="0" applyNumberFormat="1" applyFont="1" applyFill="1" applyBorder="1" applyAlignment="1">
      <alignment/>
    </xf>
    <xf numFmtId="0" fontId="0" fillId="21" borderId="47" xfId="0" applyFill="1" applyBorder="1" applyAlignment="1">
      <alignment horizontal="center" wrapText="1"/>
    </xf>
    <xf numFmtId="0" fontId="0" fillId="21" borderId="12" xfId="0" applyFill="1" applyBorder="1" applyAlignment="1">
      <alignment horizontal="center" wrapText="1"/>
    </xf>
    <xf numFmtId="0" fontId="0" fillId="21" borderId="12" xfId="0" applyFill="1" applyBorder="1" applyAlignment="1">
      <alignment wrapText="1"/>
    </xf>
    <xf numFmtId="0" fontId="0" fillId="21" borderId="34" xfId="0" applyFill="1" applyBorder="1" applyAlignment="1">
      <alignment wrapText="1"/>
    </xf>
    <xf numFmtId="0" fontId="0" fillId="21" borderId="48" xfId="0" applyFill="1" applyBorder="1" applyAlignment="1">
      <alignment wrapText="1"/>
    </xf>
    <xf numFmtId="0" fontId="10" fillId="3" borderId="38" xfId="0" applyFont="1" applyFill="1" applyBorder="1" applyAlignment="1">
      <alignment horizontal="center" wrapText="1"/>
    </xf>
    <xf numFmtId="0" fontId="10" fillId="3" borderId="39" xfId="0" applyFont="1" applyFill="1" applyBorder="1" applyAlignment="1">
      <alignment horizontal="center" wrapText="1"/>
    </xf>
    <xf numFmtId="0" fontId="10" fillId="3" borderId="49" xfId="0" applyFont="1" applyFill="1" applyBorder="1" applyAlignment="1">
      <alignment horizontal="center" wrapText="1"/>
    </xf>
    <xf numFmtId="0" fontId="10" fillId="3" borderId="50" xfId="0" applyFont="1" applyFill="1" applyBorder="1" applyAlignment="1">
      <alignment horizontal="center" wrapText="1"/>
    </xf>
    <xf numFmtId="0" fontId="0" fillId="3" borderId="31" xfId="0" applyFont="1" applyFill="1" applyBorder="1" applyAlignment="1">
      <alignment horizontal="center" wrapText="1"/>
    </xf>
    <xf numFmtId="3" fontId="0" fillId="3" borderId="3" xfId="0" applyNumberFormat="1" applyFont="1" applyFill="1" applyBorder="1" applyAlignment="1">
      <alignment horizontal="center" wrapText="1"/>
    </xf>
    <xf numFmtId="3" fontId="0" fillId="3" borderId="33" xfId="0" applyNumberFormat="1" applyFont="1" applyFill="1" applyBorder="1" applyAlignment="1">
      <alignment horizontal="center" wrapText="1"/>
    </xf>
    <xf numFmtId="0" fontId="0" fillId="22" borderId="31" xfId="0" applyFill="1" applyBorder="1" applyAlignment="1">
      <alignment horizontal="center" wrapText="1"/>
    </xf>
    <xf numFmtId="3" fontId="0" fillId="22" borderId="3" xfId="0" applyNumberFormat="1" applyFill="1" applyBorder="1" applyAlignment="1">
      <alignment horizontal="center" wrapText="1"/>
    </xf>
    <xf numFmtId="3" fontId="0" fillId="22" borderId="33" xfId="0" applyNumberFormat="1" applyFont="1" applyFill="1" applyBorder="1" applyAlignment="1">
      <alignment horizontal="center" wrapText="1"/>
    </xf>
    <xf numFmtId="0" fontId="0" fillId="22" borderId="15" xfId="0" applyFill="1" applyBorder="1" applyAlignment="1">
      <alignment horizontal="center" wrapText="1"/>
    </xf>
    <xf numFmtId="0" fontId="0" fillId="0" borderId="0" xfId="0" applyFill="1" applyAlignment="1">
      <alignment wrapText="1"/>
    </xf>
    <xf numFmtId="10" fontId="0" fillId="0" borderId="0" xfId="0" applyNumberFormat="1" applyFill="1" applyBorder="1" applyAlignment="1">
      <alignment horizontal="center" wrapText="1"/>
    </xf>
    <xf numFmtId="10" fontId="0" fillId="0" borderId="51" xfId="0" applyNumberFormat="1" applyBorder="1" applyAlignment="1">
      <alignment horizontal="center" wrapText="1"/>
    </xf>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xf>
    <xf numFmtId="3" fontId="0" fillId="0" borderId="0" xfId="0" applyNumberFormat="1" applyBorder="1" applyAlignment="1">
      <alignment/>
    </xf>
    <xf numFmtId="0" fontId="0" fillId="0" borderId="55" xfId="0" applyNumberFormat="1" applyBorder="1" applyAlignment="1">
      <alignment/>
    </xf>
    <xf numFmtId="0" fontId="0" fillId="0" borderId="56" xfId="0" applyBorder="1" applyAlignment="1">
      <alignment/>
    </xf>
    <xf numFmtId="3" fontId="0" fillId="0" borderId="57" xfId="0" applyNumberFormat="1" applyBorder="1" applyAlignment="1">
      <alignment/>
    </xf>
    <xf numFmtId="0" fontId="0" fillId="0" borderId="58" xfId="0" applyBorder="1" applyAlignment="1">
      <alignment/>
    </xf>
    <xf numFmtId="0" fontId="0" fillId="0" borderId="0" xfId="0" applyFont="1" applyFill="1" applyBorder="1" applyAlignment="1">
      <alignment horizontal="center" wrapText="1"/>
    </xf>
    <xf numFmtId="0" fontId="0" fillId="13" borderId="59" xfId="0" applyFill="1" applyBorder="1" applyAlignment="1">
      <alignment/>
    </xf>
    <xf numFmtId="0" fontId="0" fillId="23" borderId="59" xfId="0" applyFill="1" applyBorder="1" applyAlignment="1">
      <alignment/>
    </xf>
    <xf numFmtId="10" fontId="0" fillId="13" borderId="59" xfId="0" applyNumberFormat="1" applyFill="1" applyBorder="1" applyAlignment="1">
      <alignment/>
    </xf>
    <xf numFmtId="3" fontId="0" fillId="13" borderId="59" xfId="0" applyNumberFormat="1" applyFill="1" applyBorder="1" applyAlignment="1">
      <alignment/>
    </xf>
    <xf numFmtId="3" fontId="0" fillId="23" borderId="59" xfId="0" applyNumberFormat="1" applyFill="1" applyBorder="1" applyAlignment="1">
      <alignment/>
    </xf>
    <xf numFmtId="168" fontId="10" fillId="13" borderId="59" xfId="32" applyNumberFormat="1" applyFont="1" applyFill="1" applyBorder="1" applyAlignment="1" applyProtection="1">
      <alignment horizontal="right"/>
      <protection/>
    </xf>
    <xf numFmtId="1" fontId="0" fillId="13" borderId="59" xfId="0" applyNumberFormat="1" applyFill="1" applyBorder="1" applyAlignment="1">
      <alignment/>
    </xf>
    <xf numFmtId="1" fontId="0" fillId="23" borderId="59" xfId="0" applyNumberFormat="1" applyFill="1" applyBorder="1" applyAlignment="1">
      <alignment/>
    </xf>
    <xf numFmtId="0" fontId="10" fillId="13" borderId="59" xfId="0" applyFont="1" applyFill="1" applyBorder="1" applyAlignment="1">
      <alignment wrapText="1"/>
    </xf>
    <xf numFmtId="0" fontId="0" fillId="0" borderId="0" xfId="0" applyFont="1" applyBorder="1" applyAlignment="1">
      <alignment wrapText="1"/>
    </xf>
    <xf numFmtId="0" fontId="0" fillId="0" borderId="54" xfId="0" applyFont="1" applyFill="1" applyBorder="1" applyAlignment="1">
      <alignment horizontal="center" wrapText="1"/>
    </xf>
    <xf numFmtId="10" fontId="0" fillId="0" borderId="0" xfId="0" applyNumberFormat="1" applyFont="1" applyFill="1" applyBorder="1" applyAlignment="1">
      <alignment horizontal="center" wrapText="1"/>
    </xf>
    <xf numFmtId="0" fontId="0" fillId="24" borderId="12" xfId="0" applyFont="1" applyFill="1" applyBorder="1" applyAlignment="1">
      <alignment horizontal="right" wrapText="1"/>
    </xf>
    <xf numFmtId="165" fontId="0" fillId="10" borderId="12" xfId="0" applyNumberFormat="1" applyFill="1" applyBorder="1" applyAlignment="1">
      <alignment wrapText="1"/>
    </xf>
    <xf numFmtId="0" fontId="0" fillId="0" borderId="0" xfId="0" applyFont="1" applyFill="1" applyBorder="1" applyAlignment="1">
      <alignment horizontal="right"/>
    </xf>
    <xf numFmtId="0" fontId="0" fillId="0" borderId="0" xfId="0" applyFont="1" applyFill="1" applyBorder="1" applyAlignment="1">
      <alignment horizontal="center"/>
    </xf>
    <xf numFmtId="2" fontId="0" fillId="0" borderId="0" xfId="0" applyNumberFormat="1" applyFill="1" applyBorder="1" applyAlignment="1">
      <alignment horizontal="center"/>
    </xf>
    <xf numFmtId="165" fontId="0" fillId="0" borderId="0" xfId="0" applyNumberFormat="1" applyFill="1" applyBorder="1" applyAlignment="1">
      <alignment/>
    </xf>
    <xf numFmtId="1" fontId="0" fillId="0" borderId="0" xfId="0" applyNumberFormat="1"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wrapText="1"/>
    </xf>
    <xf numFmtId="0" fontId="0" fillId="8" borderId="0" xfId="0" applyFill="1" applyBorder="1" applyAlignment="1">
      <alignment wrapText="1"/>
    </xf>
    <xf numFmtId="0" fontId="10" fillId="0" borderId="0" xfId="0" applyFont="1" applyFill="1" applyBorder="1" applyAlignment="1">
      <alignment wrapText="1"/>
    </xf>
    <xf numFmtId="2" fontId="0" fillId="0" borderId="0" xfId="0" applyNumberFormat="1" applyFill="1" applyBorder="1" applyAlignment="1">
      <alignment horizontal="center" wrapText="1"/>
    </xf>
    <xf numFmtId="0" fontId="10" fillId="3" borderId="60" xfId="0" applyFont="1" applyFill="1" applyBorder="1" applyAlignment="1">
      <alignment horizontal="center" wrapText="1"/>
    </xf>
    <xf numFmtId="3" fontId="0" fillId="3" borderId="37" xfId="0" applyNumberFormat="1" applyFont="1" applyFill="1" applyBorder="1" applyAlignment="1">
      <alignment horizontal="center" wrapText="1"/>
    </xf>
    <xf numFmtId="3" fontId="0" fillId="22" borderId="37" xfId="0" applyNumberFormat="1" applyFill="1" applyBorder="1" applyAlignment="1">
      <alignment horizontal="center" wrapText="1"/>
    </xf>
    <xf numFmtId="3" fontId="0" fillId="3" borderId="4" xfId="0" applyNumberFormat="1" applyFont="1" applyFill="1" applyBorder="1" applyAlignment="1">
      <alignment horizontal="center" wrapText="1"/>
    </xf>
    <xf numFmtId="0" fontId="10" fillId="3" borderId="61" xfId="0" applyFont="1" applyFill="1" applyBorder="1" applyAlignment="1">
      <alignment horizontal="center" wrapText="1"/>
    </xf>
    <xf numFmtId="3" fontId="0" fillId="3" borderId="62" xfId="0" applyNumberFormat="1" applyFill="1" applyBorder="1" applyAlignment="1">
      <alignment horizontal="center" wrapText="1"/>
    </xf>
    <xf numFmtId="3" fontId="0" fillId="22" borderId="62" xfId="0" applyNumberFormat="1" applyFill="1" applyBorder="1" applyAlignment="1">
      <alignment horizontal="center" wrapText="1"/>
    </xf>
    <xf numFmtId="3" fontId="0" fillId="22" borderId="63" xfId="0" applyNumberFormat="1" applyFill="1" applyBorder="1" applyAlignment="1">
      <alignment horizontal="center" wrapText="1"/>
    </xf>
    <xf numFmtId="0" fontId="0" fillId="0" borderId="0" xfId="0" applyFont="1" applyFill="1" applyAlignment="1">
      <alignment horizontal="center" wrapText="1"/>
    </xf>
    <xf numFmtId="10" fontId="0" fillId="0" borderId="0" xfId="0" applyNumberFormat="1" applyFill="1" applyAlignment="1">
      <alignment horizontal="center" wrapText="1"/>
    </xf>
    <xf numFmtId="3" fontId="0" fillId="25" borderId="3" xfId="0" applyNumberFormat="1" applyFont="1" applyFill="1" applyBorder="1" applyAlignment="1">
      <alignment horizontal="center" wrapText="1"/>
    </xf>
    <xf numFmtId="0" fontId="0" fillId="26" borderId="0" xfId="0" applyFont="1" applyFill="1" applyAlignment="1">
      <alignment horizontal="center" wrapText="1"/>
    </xf>
    <xf numFmtId="0" fontId="0" fillId="26" borderId="0" xfId="0" applyFill="1" applyAlignment="1">
      <alignment horizontal="center" wrapText="1"/>
    </xf>
    <xf numFmtId="10" fontId="0" fillId="26" borderId="0" xfId="0" applyNumberFormat="1" applyFill="1" applyAlignment="1">
      <alignment horizontal="center" wrapText="1"/>
    </xf>
    <xf numFmtId="0" fontId="0" fillId="26" borderId="0" xfId="0" applyFill="1" applyAlignment="1">
      <alignment wrapText="1"/>
    </xf>
    <xf numFmtId="0" fontId="0" fillId="0" borderId="57" xfId="0" applyBorder="1" applyAlignment="1">
      <alignment/>
    </xf>
    <xf numFmtId="0" fontId="0" fillId="19" borderId="47" xfId="0" applyFont="1" applyFill="1" applyBorder="1" applyAlignment="1">
      <alignment wrapText="1"/>
    </xf>
    <xf numFmtId="2" fontId="0" fillId="19" borderId="12" xfId="0" applyNumberFormat="1" applyFont="1" applyFill="1" applyBorder="1" applyAlignment="1">
      <alignment horizontal="right" wrapText="1"/>
    </xf>
    <xf numFmtId="0" fontId="0" fillId="19" borderId="12" xfId="0" applyFont="1" applyFill="1" applyBorder="1" applyAlignment="1">
      <alignment horizontal="right" wrapText="1"/>
    </xf>
    <xf numFmtId="0" fontId="0" fillId="19" borderId="12" xfId="0" applyFill="1" applyBorder="1" applyAlignment="1">
      <alignment horizontal="right"/>
    </xf>
    <xf numFmtId="2" fontId="0" fillId="19" borderId="12" xfId="0" applyNumberFormat="1" applyFill="1" applyBorder="1" applyAlignment="1">
      <alignment/>
    </xf>
    <xf numFmtId="0" fontId="0" fillId="19" borderId="13" xfId="0" applyFont="1" applyFill="1" applyBorder="1" applyAlignment="1">
      <alignment wrapText="1"/>
    </xf>
    <xf numFmtId="0" fontId="0" fillId="19" borderId="11" xfId="0" applyFont="1" applyFill="1" applyBorder="1" applyAlignment="1">
      <alignment horizontal="right" wrapText="1"/>
    </xf>
    <xf numFmtId="0" fontId="0" fillId="19" borderId="11" xfId="0" applyFill="1" applyBorder="1" applyAlignment="1">
      <alignment horizontal="right"/>
    </xf>
    <xf numFmtId="16" fontId="0" fillId="19" borderId="11" xfId="0" applyNumberFormat="1" applyFont="1" applyFill="1" applyBorder="1" applyAlignment="1">
      <alignment horizontal="right" wrapText="1"/>
    </xf>
    <xf numFmtId="0" fontId="0" fillId="19" borderId="11" xfId="0" applyFill="1" applyBorder="1" applyAlignment="1">
      <alignment/>
    </xf>
    <xf numFmtId="0" fontId="0" fillId="19" borderId="64" xfId="0" applyFont="1" applyFill="1" applyBorder="1" applyAlignment="1">
      <alignment wrapText="1"/>
    </xf>
    <xf numFmtId="0" fontId="0" fillId="19" borderId="65" xfId="0" applyFill="1" applyBorder="1" applyAlignment="1">
      <alignment horizontal="right"/>
    </xf>
    <xf numFmtId="0" fontId="0" fillId="19" borderId="65" xfId="0" applyFill="1" applyBorder="1" applyAlignment="1">
      <alignment/>
    </xf>
    <xf numFmtId="2" fontId="0" fillId="19" borderId="65" xfId="0" applyNumberFormat="1" applyFill="1" applyBorder="1" applyAlignment="1">
      <alignment/>
    </xf>
    <xf numFmtId="2" fontId="0" fillId="19" borderId="66" xfId="0" applyNumberFormat="1" applyFill="1" applyBorder="1" applyAlignment="1">
      <alignment/>
    </xf>
    <xf numFmtId="0" fontId="0" fillId="19" borderId="67" xfId="0" applyFont="1" applyFill="1" applyBorder="1" applyAlignment="1">
      <alignment wrapText="1"/>
    </xf>
    <xf numFmtId="2" fontId="0" fillId="19" borderId="68" xfId="0" applyNumberFormat="1" applyFill="1" applyBorder="1" applyAlignment="1">
      <alignment/>
    </xf>
    <xf numFmtId="0" fontId="0" fillId="19" borderId="69" xfId="0" applyFont="1" applyFill="1" applyBorder="1" applyAlignment="1">
      <alignment wrapText="1"/>
    </xf>
    <xf numFmtId="0" fontId="0" fillId="19" borderId="70" xfId="0" applyFill="1" applyBorder="1" applyAlignment="1">
      <alignment horizontal="right"/>
    </xf>
    <xf numFmtId="0" fontId="0" fillId="19" borderId="70" xfId="0" applyFill="1" applyBorder="1" applyAlignment="1">
      <alignment/>
    </xf>
    <xf numFmtId="2" fontId="0" fillId="19" borderId="70" xfId="0" applyNumberFormat="1" applyFill="1" applyBorder="1" applyAlignment="1">
      <alignment/>
    </xf>
    <xf numFmtId="2" fontId="0" fillId="19" borderId="71" xfId="0" applyNumberFormat="1" applyFill="1" applyBorder="1" applyAlignment="1">
      <alignment/>
    </xf>
    <xf numFmtId="0" fontId="0" fillId="19" borderId="3" xfId="0" applyFont="1" applyFill="1" applyBorder="1" applyAlignment="1">
      <alignment horizontal="center" wrapText="1"/>
    </xf>
    <xf numFmtId="0" fontId="0" fillId="19" borderId="39" xfId="0" applyFill="1" applyBorder="1" applyAlignment="1">
      <alignment horizontal="center" wrapText="1"/>
    </xf>
    <xf numFmtId="0" fontId="0" fillId="19" borderId="39" xfId="0" applyFont="1" applyFill="1" applyBorder="1" applyAlignment="1">
      <alignment horizontal="center" wrapText="1"/>
    </xf>
    <xf numFmtId="0" fontId="0" fillId="8" borderId="51" xfId="0" applyFill="1" applyBorder="1" applyAlignment="1">
      <alignment/>
    </xf>
    <xf numFmtId="0" fontId="0" fillId="8" borderId="56" xfId="0" applyFill="1" applyBorder="1" applyAlignment="1">
      <alignment/>
    </xf>
    <xf numFmtId="16" fontId="0" fillId="19" borderId="12" xfId="0" applyNumberFormat="1" applyFill="1" applyBorder="1" applyAlignment="1">
      <alignment horizontal="right" wrapText="1"/>
    </xf>
    <xf numFmtId="16" fontId="0" fillId="19" borderId="12" xfId="0" applyNumberFormat="1" applyFill="1" applyBorder="1" applyAlignment="1">
      <alignment horizontal="right"/>
    </xf>
    <xf numFmtId="0" fontId="0" fillId="19" borderId="12" xfId="0" applyFill="1" applyBorder="1" applyAlignment="1">
      <alignment wrapText="1"/>
    </xf>
    <xf numFmtId="0" fontId="0" fillId="19" borderId="13" xfId="0" applyFont="1" applyFill="1" applyBorder="1" applyAlignment="1">
      <alignment horizontal="left" wrapText="1"/>
    </xf>
    <xf numFmtId="0" fontId="0" fillId="19" borderId="11" xfId="0" applyFont="1" applyFill="1" applyBorder="1" applyAlignment="1">
      <alignment horizontal="left" wrapText="1"/>
    </xf>
    <xf numFmtId="0" fontId="0" fillId="19" borderId="11" xfId="0" applyFont="1" applyFill="1" applyBorder="1" applyAlignment="1">
      <alignment horizontal="center" wrapText="1"/>
    </xf>
    <xf numFmtId="0" fontId="0" fillId="19" borderId="72" xfId="0" applyFont="1" applyFill="1" applyBorder="1" applyAlignment="1">
      <alignment horizontal="left" wrapText="1"/>
    </xf>
    <xf numFmtId="0" fontId="0" fillId="19" borderId="73" xfId="0" applyFont="1" applyFill="1" applyBorder="1" applyAlignment="1">
      <alignment horizontal="left" wrapText="1"/>
    </xf>
    <xf numFmtId="0" fontId="0" fillId="19" borderId="73" xfId="0" applyFill="1" applyBorder="1" applyAlignment="1">
      <alignment horizontal="center" wrapText="1"/>
    </xf>
    <xf numFmtId="0" fontId="0" fillId="19" borderId="73" xfId="0" applyFont="1" applyFill="1" applyBorder="1" applyAlignment="1">
      <alignment horizontal="center" wrapText="1"/>
    </xf>
    <xf numFmtId="2" fontId="0" fillId="19" borderId="3" xfId="0" applyNumberFormat="1" applyFill="1" applyBorder="1" applyAlignment="1">
      <alignment horizontal="right" wrapText="1"/>
    </xf>
    <xf numFmtId="0" fontId="0" fillId="19" borderId="73" xfId="0" applyFill="1" applyBorder="1" applyAlignment="1">
      <alignment horizontal="left" wrapText="1"/>
    </xf>
    <xf numFmtId="0" fontId="0" fillId="19" borderId="3" xfId="0" applyFill="1" applyBorder="1" applyAlignment="1">
      <alignment horizontal="right" wrapText="1"/>
    </xf>
    <xf numFmtId="0" fontId="28" fillId="27" borderId="65" xfId="0" applyFont="1" applyFill="1" applyBorder="1" applyAlignment="1">
      <alignment horizontal="right" wrapText="1"/>
    </xf>
    <xf numFmtId="0" fontId="28" fillId="27" borderId="66" xfId="0" applyFont="1" applyFill="1" applyBorder="1" applyAlignment="1">
      <alignment horizontal="right" wrapText="1"/>
    </xf>
    <xf numFmtId="0" fontId="28" fillId="7" borderId="3" xfId="0" applyFont="1" applyFill="1" applyBorder="1" applyAlignment="1">
      <alignment/>
    </xf>
    <xf numFmtId="10" fontId="28" fillId="27" borderId="3" xfId="0" applyNumberFormat="1" applyFont="1" applyFill="1" applyBorder="1" applyAlignment="1">
      <alignment/>
    </xf>
    <xf numFmtId="10" fontId="28" fillId="27" borderId="68" xfId="0" applyNumberFormat="1" applyFont="1" applyFill="1" applyBorder="1" applyAlignment="1">
      <alignment/>
    </xf>
    <xf numFmtId="0" fontId="28" fillId="7" borderId="3" xfId="0" applyFont="1" applyFill="1" applyBorder="1" applyAlignment="1">
      <alignment wrapText="1"/>
    </xf>
    <xf numFmtId="9" fontId="28" fillId="7" borderId="3" xfId="0" applyNumberFormat="1" applyFont="1" applyFill="1" applyBorder="1" applyAlignment="1">
      <alignment wrapText="1"/>
    </xf>
    <xf numFmtId="10" fontId="28" fillId="27" borderId="70" xfId="0" applyNumberFormat="1" applyFont="1" applyFill="1" applyBorder="1" applyAlignment="1">
      <alignment/>
    </xf>
    <xf numFmtId="10" fontId="28" fillId="27" borderId="71" xfId="0" applyNumberFormat="1" applyFont="1" applyFill="1" applyBorder="1" applyAlignment="1">
      <alignment/>
    </xf>
    <xf numFmtId="9" fontId="28" fillId="7" borderId="3" xfId="0" applyNumberFormat="1" applyFont="1" applyFill="1" applyBorder="1" applyAlignment="1">
      <alignment/>
    </xf>
    <xf numFmtId="0" fontId="28" fillId="0" borderId="0" xfId="0" applyFont="1" applyAlignment="1">
      <alignment/>
    </xf>
    <xf numFmtId="0" fontId="28" fillId="0" borderId="0" xfId="0" applyFont="1" applyAlignment="1">
      <alignment wrapText="1"/>
    </xf>
    <xf numFmtId="0" fontId="0" fillId="0" borderId="0" xfId="0" applyNumberFormat="1" applyFill="1" applyBorder="1" applyAlignment="1">
      <alignment/>
    </xf>
    <xf numFmtId="2" fontId="0" fillId="13" borderId="33" xfId="0" applyNumberFormat="1" applyFill="1" applyBorder="1" applyAlignment="1">
      <alignment horizontal="center" wrapText="1"/>
    </xf>
    <xf numFmtId="10" fontId="22" fillId="18" borderId="74" xfId="0" applyNumberFormat="1" applyFont="1" applyFill="1" applyBorder="1" applyAlignment="1">
      <alignment horizontal="center" wrapText="1"/>
    </xf>
    <xf numFmtId="0" fontId="0" fillId="8" borderId="75" xfId="0" applyFill="1" applyBorder="1" applyAlignment="1">
      <alignment/>
    </xf>
    <xf numFmtId="0" fontId="0" fillId="8" borderId="76" xfId="0" applyFill="1" applyBorder="1" applyAlignment="1">
      <alignment/>
    </xf>
    <xf numFmtId="9" fontId="0" fillId="28" borderId="75" xfId="32" applyFill="1" applyBorder="1" applyAlignment="1">
      <alignment/>
    </xf>
    <xf numFmtId="9" fontId="0" fillId="28" borderId="76" xfId="32" applyFill="1" applyBorder="1" applyAlignment="1">
      <alignment/>
    </xf>
    <xf numFmtId="9" fontId="0" fillId="28" borderId="77" xfId="32" applyFill="1" applyBorder="1" applyAlignment="1">
      <alignment/>
    </xf>
    <xf numFmtId="2" fontId="0" fillId="29" borderId="0" xfId="0" applyNumberFormat="1" applyFont="1" applyFill="1" applyBorder="1" applyAlignment="1">
      <alignment horizontal="right" wrapText="1"/>
    </xf>
    <xf numFmtId="0" fontId="0" fillId="29" borderId="0" xfId="0" applyFont="1" applyFill="1" applyBorder="1" applyAlignment="1">
      <alignment horizontal="right" wrapText="1"/>
    </xf>
    <xf numFmtId="0" fontId="0" fillId="19" borderId="61" xfId="0" applyFont="1" applyFill="1" applyBorder="1" applyAlignment="1">
      <alignment wrapText="1"/>
    </xf>
    <xf numFmtId="0" fontId="0" fillId="19" borderId="62" xfId="0" applyFont="1" applyFill="1" applyBorder="1" applyAlignment="1">
      <alignment wrapText="1"/>
    </xf>
    <xf numFmtId="0" fontId="0" fillId="19" borderId="63" xfId="0" applyFont="1" applyFill="1" applyBorder="1" applyAlignment="1">
      <alignment wrapText="1"/>
    </xf>
    <xf numFmtId="10" fontId="28" fillId="0" borderId="0" xfId="0" applyNumberFormat="1" applyFont="1" applyAlignment="1">
      <alignment/>
    </xf>
    <xf numFmtId="0" fontId="0" fillId="30" borderId="78" xfId="0" applyFill="1" applyBorder="1" applyAlignment="1">
      <alignment horizontal="right" wrapText="1"/>
    </xf>
    <xf numFmtId="2" fontId="0" fillId="31" borderId="0" xfId="0" applyNumberFormat="1" applyFont="1" applyFill="1" applyBorder="1" applyAlignment="1">
      <alignment horizontal="right" wrapText="1"/>
    </xf>
    <xf numFmtId="0" fontId="0" fillId="32" borderId="79" xfId="0" applyFill="1" applyBorder="1" applyAlignment="1">
      <alignment horizontal="right" wrapText="1"/>
    </xf>
    <xf numFmtId="0" fontId="0" fillId="32" borderId="80" xfId="0" applyFill="1" applyBorder="1" applyAlignment="1">
      <alignment wrapText="1"/>
    </xf>
    <xf numFmtId="2" fontId="0" fillId="29" borderId="52" xfId="0" applyNumberFormat="1" applyFont="1" applyFill="1" applyBorder="1" applyAlignment="1">
      <alignment horizontal="right" wrapText="1"/>
    </xf>
    <xf numFmtId="0" fontId="0" fillId="29" borderId="52" xfId="0" applyFont="1" applyFill="1" applyBorder="1" applyAlignment="1">
      <alignment horizontal="right" wrapText="1"/>
    </xf>
    <xf numFmtId="2" fontId="0" fillId="31" borderId="52" xfId="0" applyNumberFormat="1" applyFont="1" applyFill="1" applyBorder="1" applyAlignment="1">
      <alignment horizontal="right" wrapText="1"/>
    </xf>
    <xf numFmtId="2" fontId="0" fillId="31" borderId="53" xfId="0" applyNumberFormat="1" applyFill="1" applyBorder="1" applyAlignment="1">
      <alignment/>
    </xf>
    <xf numFmtId="2" fontId="0" fillId="31" borderId="55" xfId="0" applyNumberFormat="1" applyFill="1" applyBorder="1" applyAlignment="1">
      <alignment/>
    </xf>
    <xf numFmtId="2" fontId="0" fillId="29" borderId="57" xfId="0" applyNumberFormat="1" applyFont="1" applyFill="1" applyBorder="1" applyAlignment="1">
      <alignment horizontal="right" wrapText="1"/>
    </xf>
    <xf numFmtId="2" fontId="0" fillId="31" borderId="57" xfId="0" applyNumberFormat="1" applyFont="1" applyFill="1" applyBorder="1" applyAlignment="1">
      <alignment horizontal="right" wrapText="1"/>
    </xf>
    <xf numFmtId="2" fontId="0" fillId="31" borderId="58" xfId="0" applyNumberFormat="1" applyFill="1" applyBorder="1" applyAlignment="1">
      <alignment/>
    </xf>
    <xf numFmtId="165" fontId="0" fillId="0" borderId="0" xfId="0" applyNumberFormat="1" applyFill="1" applyAlignment="1">
      <alignment wrapText="1"/>
    </xf>
    <xf numFmtId="1" fontId="0" fillId="0" borderId="0" xfId="0" applyNumberFormat="1" applyFill="1" applyAlignment="1">
      <alignment wrapText="1"/>
    </xf>
    <xf numFmtId="0" fontId="28" fillId="0" borderId="0" xfId="0" applyFont="1" applyFill="1" applyBorder="1" applyAlignment="1">
      <alignment/>
    </xf>
    <xf numFmtId="174" fontId="22" fillId="0" borderId="0" xfId="15" applyNumberFormat="1" applyFont="1" applyFill="1" applyBorder="1" applyAlignment="1" applyProtection="1">
      <alignment horizontal="center"/>
      <protection/>
    </xf>
    <xf numFmtId="0" fontId="22" fillId="0" borderId="0" xfId="15" applyNumberFormat="1" applyFont="1" applyFill="1" applyBorder="1" applyAlignment="1" applyProtection="1">
      <alignment horizontal="center"/>
      <protection/>
    </xf>
    <xf numFmtId="174" fontId="22" fillId="0" borderId="0" xfId="15" applyNumberFormat="1" applyFont="1" applyFill="1" applyBorder="1" applyAlignment="1" applyProtection="1">
      <alignment horizontal="right"/>
      <protection/>
    </xf>
    <xf numFmtId="0" fontId="22" fillId="0" borderId="0" xfId="0" applyFont="1" applyFill="1" applyBorder="1" applyAlignment="1">
      <alignment/>
    </xf>
    <xf numFmtId="3" fontId="22" fillId="0" borderId="0" xfId="0" applyNumberFormat="1" applyFont="1" applyFill="1" applyBorder="1" applyAlignment="1">
      <alignment/>
    </xf>
    <xf numFmtId="168" fontId="22" fillId="0" borderId="0" xfId="15" applyNumberFormat="1" applyFont="1" applyFill="1" applyBorder="1" applyAlignment="1" applyProtection="1">
      <alignment horizontal="right"/>
      <protection/>
    </xf>
    <xf numFmtId="0" fontId="10" fillId="33" borderId="51" xfId="0" applyFont="1" applyFill="1" applyBorder="1" applyAlignment="1">
      <alignment wrapText="1"/>
    </xf>
    <xf numFmtId="0" fontId="0" fillId="33" borderId="53" xfId="0" applyFill="1" applyBorder="1" applyAlignment="1">
      <alignment wrapText="1"/>
    </xf>
    <xf numFmtId="0" fontId="0" fillId="33" borderId="56" xfId="0" applyFont="1" applyFill="1" applyBorder="1" applyAlignment="1">
      <alignment wrapText="1"/>
    </xf>
    <xf numFmtId="3" fontId="0" fillId="33" borderId="58" xfId="0" applyNumberFormat="1" applyFill="1" applyBorder="1" applyAlignment="1">
      <alignment wrapText="1"/>
    </xf>
    <xf numFmtId="0" fontId="13" fillId="0" borderId="0" xfId="0" applyFont="1" applyFill="1" applyBorder="1" applyAlignment="1">
      <alignment wrapText="1"/>
    </xf>
    <xf numFmtId="0" fontId="0" fillId="4" borderId="11" xfId="0" applyFont="1" applyFill="1" applyBorder="1" applyAlignment="1">
      <alignment horizontal="center" wrapText="1"/>
    </xf>
    <xf numFmtId="0" fontId="0" fillId="5" borderId="11" xfId="0" applyFont="1" applyFill="1" applyBorder="1" applyAlignment="1">
      <alignment horizontal="center" wrapText="1"/>
    </xf>
    <xf numFmtId="0" fontId="0" fillId="6" borderId="11" xfId="0" applyFont="1" applyFill="1" applyBorder="1" applyAlignment="1">
      <alignment horizontal="center" wrapText="1"/>
    </xf>
    <xf numFmtId="0" fontId="0" fillId="7" borderId="11" xfId="0" applyFont="1" applyFill="1" applyBorder="1" applyAlignment="1">
      <alignment horizontal="center" wrapText="1"/>
    </xf>
    <xf numFmtId="0" fontId="0" fillId="3" borderId="81" xfId="0" applyFont="1" applyFill="1" applyBorder="1" applyAlignment="1">
      <alignment horizontal="center" wrapText="1"/>
    </xf>
    <xf numFmtId="3" fontId="0" fillId="26" borderId="0" xfId="0" applyNumberFormat="1" applyFill="1" applyAlignment="1">
      <alignment wrapText="1"/>
    </xf>
    <xf numFmtId="165" fontId="0" fillId="0" borderId="0" xfId="0" applyNumberFormat="1" applyFont="1" applyFill="1" applyBorder="1" applyAlignment="1">
      <alignment wrapText="1"/>
    </xf>
    <xf numFmtId="2" fontId="0" fillId="0" borderId="0" xfId="0" applyNumberFormat="1" applyFill="1" applyBorder="1" applyAlignment="1">
      <alignment wrapText="1"/>
    </xf>
    <xf numFmtId="0" fontId="10" fillId="0" borderId="0" xfId="0" applyNumberFormat="1" applyFont="1" applyFill="1" applyBorder="1" applyAlignment="1">
      <alignment wrapText="1"/>
    </xf>
    <xf numFmtId="2"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0" fontId="14" fillId="0" borderId="0" xfId="0" applyFont="1" applyFill="1" applyBorder="1" applyAlignment="1">
      <alignment horizontal="center" wrapText="1"/>
    </xf>
    <xf numFmtId="2" fontId="0" fillId="0" borderId="0" xfId="0" applyNumberFormat="1" applyFont="1" applyFill="1" applyBorder="1" applyAlignment="1">
      <alignment horizontal="center" wrapText="1"/>
    </xf>
    <xf numFmtId="9" fontId="0" fillId="0" borderId="0" xfId="32" applyFont="1" applyFill="1" applyBorder="1" applyAlignment="1" applyProtection="1">
      <alignment/>
      <protection/>
    </xf>
    <xf numFmtId="0" fontId="0" fillId="0" borderId="59" xfId="0" applyBorder="1" applyAlignment="1">
      <alignment/>
    </xf>
    <xf numFmtId="0" fontId="0" fillId="3" borderId="3" xfId="0" applyFill="1" applyBorder="1" applyAlignment="1">
      <alignment/>
    </xf>
    <xf numFmtId="2" fontId="0" fillId="0" borderId="0" xfId="0" applyNumberFormat="1" applyFont="1" applyFill="1" applyBorder="1" applyAlignment="1">
      <alignment/>
    </xf>
    <xf numFmtId="0" fontId="0" fillId="0" borderId="82" xfId="0" applyBorder="1" applyAlignment="1">
      <alignment/>
    </xf>
    <xf numFmtId="0" fontId="0" fillId="6" borderId="37" xfId="0" applyFill="1" applyBorder="1" applyAlignment="1">
      <alignment wrapText="1"/>
    </xf>
    <xf numFmtId="0" fontId="0" fillId="7" borderId="83" xfId="0" applyFill="1" applyBorder="1" applyAlignment="1">
      <alignment wrapText="1"/>
    </xf>
    <xf numFmtId="0" fontId="0" fillId="7" borderId="84" xfId="0" applyFill="1" applyBorder="1" applyAlignment="1">
      <alignment horizontal="left" wrapText="1"/>
    </xf>
    <xf numFmtId="0" fontId="0" fillId="7" borderId="84" xfId="0" applyFill="1" applyBorder="1" applyAlignment="1">
      <alignment/>
    </xf>
    <xf numFmtId="2" fontId="0" fillId="7" borderId="84" xfId="0" applyNumberFormat="1" applyFill="1" applyBorder="1" applyAlignment="1">
      <alignment/>
    </xf>
    <xf numFmtId="1" fontId="0" fillId="7" borderId="84" xfId="0" applyNumberFormat="1" applyFill="1" applyBorder="1" applyAlignment="1">
      <alignment/>
    </xf>
    <xf numFmtId="169" fontId="0" fillId="7" borderId="84" xfId="0" applyNumberFormat="1" applyFill="1" applyBorder="1" applyAlignment="1">
      <alignment/>
    </xf>
    <xf numFmtId="165" fontId="0" fillId="7" borderId="84" xfId="0" applyNumberFormat="1" applyFill="1" applyBorder="1" applyAlignment="1">
      <alignment/>
    </xf>
    <xf numFmtId="0" fontId="0" fillId="7" borderId="85" xfId="0" applyFill="1" applyBorder="1" applyAlignment="1">
      <alignment wrapText="1"/>
    </xf>
    <xf numFmtId="165" fontId="0" fillId="7" borderId="86" xfId="0" applyNumberFormat="1" applyFill="1" applyBorder="1" applyAlignment="1">
      <alignment/>
    </xf>
    <xf numFmtId="2" fontId="0" fillId="7" borderId="87" xfId="0" applyNumberFormat="1" applyFill="1" applyBorder="1" applyAlignment="1">
      <alignment/>
    </xf>
    <xf numFmtId="9" fontId="0" fillId="0" borderId="0" xfId="32" applyFill="1" applyBorder="1" applyAlignment="1">
      <alignment/>
    </xf>
    <xf numFmtId="0" fontId="0" fillId="8" borderId="8" xfId="0" applyFill="1" applyBorder="1" applyAlignment="1">
      <alignment wrapText="1"/>
    </xf>
    <xf numFmtId="0" fontId="0" fillId="8" borderId="0" xfId="0" applyFont="1" applyFill="1" applyBorder="1" applyAlignment="1">
      <alignment wrapText="1"/>
    </xf>
    <xf numFmtId="3" fontId="0" fillId="0" borderId="88" xfId="0" applyNumberFormat="1" applyBorder="1" applyAlignment="1">
      <alignment wrapText="1"/>
    </xf>
    <xf numFmtId="3" fontId="0" fillId="26" borderId="58" xfId="0" applyNumberFormat="1" applyFill="1" applyBorder="1" applyAlignment="1">
      <alignment/>
    </xf>
    <xf numFmtId="0" fontId="10" fillId="11" borderId="11" xfId="0" applyFont="1" applyFill="1" applyBorder="1" applyAlignment="1">
      <alignment horizontal="right"/>
    </xf>
    <xf numFmtId="0" fontId="10" fillId="11" borderId="59" xfId="0" applyFont="1" applyFill="1" applyBorder="1" applyAlignment="1">
      <alignment horizontal="right"/>
    </xf>
    <xf numFmtId="0" fontId="0" fillId="0" borderId="59" xfId="0" applyBorder="1" applyAlignment="1">
      <alignment wrapText="1"/>
    </xf>
    <xf numFmtId="1" fontId="10" fillId="16" borderId="59" xfId="0" applyNumberFormat="1" applyFont="1" applyFill="1" applyBorder="1" applyAlignment="1">
      <alignment horizontal="center" wrapText="1"/>
    </xf>
    <xf numFmtId="2" fontId="0" fillId="13" borderId="59" xfId="0" applyNumberFormat="1" applyFill="1" applyBorder="1" applyAlignment="1">
      <alignment horizontal="center" wrapText="1"/>
    </xf>
    <xf numFmtId="9" fontId="0" fillId="0" borderId="12" xfId="0" applyNumberFormat="1" applyBorder="1" applyAlignment="1">
      <alignment/>
    </xf>
    <xf numFmtId="2" fontId="0" fillId="0" borderId="12" xfId="0" applyNumberFormat="1" applyBorder="1" applyAlignment="1">
      <alignment wrapText="1"/>
    </xf>
    <xf numFmtId="2" fontId="0" fillId="13" borderId="12" xfId="0" applyNumberFormat="1" applyFill="1" applyBorder="1" applyAlignment="1">
      <alignment horizontal="center" wrapText="1"/>
    </xf>
    <xf numFmtId="2" fontId="0" fillId="13" borderId="34" xfId="0" applyNumberFormat="1" applyFill="1" applyBorder="1" applyAlignment="1">
      <alignment horizontal="center" wrapText="1"/>
    </xf>
    <xf numFmtId="2" fontId="0" fillId="13" borderId="89" xfId="0" applyNumberFormat="1" applyFill="1" applyBorder="1" applyAlignment="1">
      <alignment horizontal="center" wrapText="1"/>
    </xf>
    <xf numFmtId="165" fontId="0" fillId="0" borderId="59" xfId="0" applyNumberFormat="1" applyBorder="1" applyAlignment="1">
      <alignment wrapText="1"/>
    </xf>
    <xf numFmtId="1" fontId="22" fillId="9" borderId="12" xfId="0" applyNumberFormat="1" applyFont="1" applyFill="1" applyBorder="1" applyAlignment="1">
      <alignment horizontal="center" wrapText="1"/>
    </xf>
    <xf numFmtId="165" fontId="22" fillId="10" borderId="12" xfId="0" applyNumberFormat="1" applyFont="1" applyFill="1" applyBorder="1" applyAlignment="1">
      <alignment horizontal="center" wrapText="1"/>
    </xf>
    <xf numFmtId="1" fontId="0" fillId="0" borderId="59" xfId="0" applyNumberFormat="1" applyBorder="1" applyAlignment="1">
      <alignment horizontal="center" wrapText="1"/>
    </xf>
    <xf numFmtId="165" fontId="0" fillId="0" borderId="59" xfId="0" applyNumberFormat="1" applyBorder="1" applyAlignment="1">
      <alignment horizontal="center" wrapText="1"/>
    </xf>
    <xf numFmtId="10" fontId="28" fillId="34" borderId="33" xfId="0" applyNumberFormat="1" applyFont="1" applyFill="1" applyBorder="1" applyAlignment="1">
      <alignment horizontal="center" wrapText="1"/>
    </xf>
    <xf numFmtId="0" fontId="28" fillId="27" borderId="90" xfId="0" applyFont="1" applyFill="1" applyBorder="1" applyAlignment="1">
      <alignment horizontal="right"/>
    </xf>
    <xf numFmtId="0" fontId="28" fillId="27" borderId="37" xfId="0" applyFont="1" applyFill="1" applyBorder="1" applyAlignment="1">
      <alignment/>
    </xf>
    <xf numFmtId="0" fontId="28" fillId="27" borderId="91" xfId="0" applyFont="1" applyFill="1" applyBorder="1" applyAlignment="1">
      <alignment/>
    </xf>
    <xf numFmtId="0" fontId="28" fillId="34" borderId="59" xfId="0" applyFont="1" applyFill="1" applyBorder="1" applyAlignment="1">
      <alignment/>
    </xf>
    <xf numFmtId="2" fontId="28" fillId="34" borderId="59" xfId="0" applyNumberFormat="1" applyFont="1" applyFill="1" applyBorder="1" applyAlignment="1">
      <alignment/>
    </xf>
    <xf numFmtId="0" fontId="28" fillId="34" borderId="92" xfId="0" applyFont="1" applyFill="1" applyBorder="1" applyAlignment="1">
      <alignment/>
    </xf>
    <xf numFmtId="2" fontId="28" fillId="34" borderId="92" xfId="0" applyNumberFormat="1" applyFont="1" applyFill="1" applyBorder="1" applyAlignment="1">
      <alignment/>
    </xf>
    <xf numFmtId="2" fontId="28" fillId="34" borderId="93" xfId="0" applyNumberFormat="1" applyFont="1" applyFill="1" applyBorder="1" applyAlignment="1">
      <alignment/>
    </xf>
    <xf numFmtId="0" fontId="28" fillId="34" borderId="51" xfId="0" applyFont="1" applyFill="1" applyBorder="1" applyAlignment="1">
      <alignment/>
    </xf>
    <xf numFmtId="0" fontId="28" fillId="34" borderId="94" xfId="0" applyFont="1" applyFill="1" applyBorder="1" applyAlignment="1">
      <alignment horizontal="right" wrapText="1"/>
    </xf>
    <xf numFmtId="0" fontId="28" fillId="34" borderId="95" xfId="0" applyFont="1" applyFill="1" applyBorder="1" applyAlignment="1">
      <alignment horizontal="right"/>
    </xf>
    <xf numFmtId="0" fontId="28" fillId="34" borderId="54" xfId="0" applyFont="1" applyFill="1" applyBorder="1" applyAlignment="1">
      <alignment/>
    </xf>
    <xf numFmtId="0" fontId="28" fillId="34" borderId="56" xfId="0" applyFont="1" applyFill="1" applyBorder="1" applyAlignment="1">
      <alignment/>
    </xf>
    <xf numFmtId="10" fontId="28" fillId="34" borderId="96" xfId="0" applyNumberFormat="1" applyFont="1" applyFill="1" applyBorder="1" applyAlignment="1">
      <alignment horizontal="center" wrapText="1"/>
    </xf>
    <xf numFmtId="2" fontId="28" fillId="34" borderId="97" xfId="0" applyNumberFormat="1" applyFont="1" applyFill="1" applyBorder="1" applyAlignment="1">
      <alignment/>
    </xf>
    <xf numFmtId="0" fontId="28" fillId="34" borderId="98" xfId="0" applyFont="1" applyFill="1" applyBorder="1" applyAlignment="1">
      <alignment horizontal="right" wrapText="1"/>
    </xf>
    <xf numFmtId="0" fontId="0" fillId="7" borderId="59" xfId="0" applyFont="1" applyFill="1" applyBorder="1" applyAlignment="1">
      <alignment/>
    </xf>
    <xf numFmtId="0" fontId="0" fillId="7" borderId="59" xfId="0" applyFill="1" applyBorder="1" applyAlignment="1">
      <alignment/>
    </xf>
    <xf numFmtId="165" fontId="0" fillId="7" borderId="59" xfId="0" applyNumberFormat="1" applyFill="1" applyBorder="1" applyAlignment="1">
      <alignment/>
    </xf>
    <xf numFmtId="1" fontId="10" fillId="16" borderId="35" xfId="0" applyNumberFormat="1" applyFont="1" applyFill="1" applyBorder="1" applyAlignment="1">
      <alignment horizontal="center" wrapText="1"/>
    </xf>
    <xf numFmtId="9" fontId="0" fillId="12" borderId="99" xfId="0" applyNumberFormat="1" applyFill="1" applyBorder="1" applyAlignment="1">
      <alignment horizontal="center"/>
    </xf>
    <xf numFmtId="9" fontId="0" fillId="12" borderId="11" xfId="0" applyNumberFormat="1" applyFill="1" applyBorder="1" applyAlignment="1">
      <alignment horizontal="center"/>
    </xf>
    <xf numFmtId="168" fontId="0" fillId="5" borderId="11" xfId="0" applyNumberFormat="1" applyFill="1" applyBorder="1" applyAlignment="1">
      <alignment horizontal="center"/>
    </xf>
    <xf numFmtId="2" fontId="0" fillId="12" borderId="11" xfId="0" applyNumberFormat="1" applyFill="1" applyBorder="1" applyAlignment="1">
      <alignment wrapText="1"/>
    </xf>
    <xf numFmtId="2" fontId="0" fillId="13" borderId="11" xfId="0" applyNumberFormat="1" applyFill="1" applyBorder="1" applyAlignment="1">
      <alignment horizontal="center" wrapText="1"/>
    </xf>
    <xf numFmtId="0" fontId="10" fillId="11" borderId="59" xfId="0" applyFont="1" applyFill="1" applyBorder="1" applyAlignment="1">
      <alignment horizontal="center"/>
    </xf>
    <xf numFmtId="0" fontId="10" fillId="5" borderId="59" xfId="0" applyFont="1" applyFill="1" applyBorder="1" applyAlignment="1">
      <alignment horizontal="center"/>
    </xf>
    <xf numFmtId="165" fontId="10" fillId="11" borderId="59" xfId="0" applyNumberFormat="1" applyFont="1" applyFill="1" applyBorder="1" applyAlignment="1">
      <alignment wrapText="1"/>
    </xf>
    <xf numFmtId="165" fontId="10" fillId="16" borderId="59" xfId="0" applyNumberFormat="1" applyFont="1" applyFill="1" applyBorder="1" applyAlignment="1">
      <alignment horizontal="center" wrapText="1"/>
    </xf>
    <xf numFmtId="0" fontId="0" fillId="0" borderId="59" xfId="0" applyFont="1" applyBorder="1" applyAlignment="1">
      <alignment wrapText="1"/>
    </xf>
    <xf numFmtId="165" fontId="0" fillId="35" borderId="3" xfId="0" applyNumberFormat="1" applyFill="1" applyBorder="1" applyAlignment="1">
      <alignment horizontal="center"/>
    </xf>
    <xf numFmtId="0" fontId="10" fillId="13" borderId="12" xfId="0" applyFont="1" applyFill="1" applyBorder="1" applyAlignment="1">
      <alignment wrapText="1"/>
    </xf>
    <xf numFmtId="0" fontId="0" fillId="0" borderId="46" xfId="0" applyFont="1" applyBorder="1" applyAlignment="1">
      <alignment wrapText="1"/>
    </xf>
    <xf numFmtId="0" fontId="0" fillId="0" borderId="7" xfId="0" applyBorder="1" applyAlignment="1">
      <alignment/>
    </xf>
    <xf numFmtId="0" fontId="0" fillId="0" borderId="17" xfId="0" applyFont="1" applyBorder="1" applyAlignment="1">
      <alignment/>
    </xf>
    <xf numFmtId="0" fontId="0" fillId="0" borderId="78" xfId="0" applyBorder="1" applyAlignment="1">
      <alignment wrapText="1"/>
    </xf>
    <xf numFmtId="0" fontId="0" fillId="0" borderId="100" xfId="0" applyBorder="1" applyAlignment="1">
      <alignment wrapText="1"/>
    </xf>
    <xf numFmtId="165" fontId="0" fillId="4" borderId="59" xfId="0" applyNumberFormat="1" applyFill="1" applyBorder="1" applyAlignment="1">
      <alignment horizontal="center"/>
    </xf>
    <xf numFmtId="165" fontId="0" fillId="4" borderId="33" xfId="0" applyNumberFormat="1" applyFill="1" applyBorder="1" applyAlignment="1">
      <alignment horizontal="center"/>
    </xf>
    <xf numFmtId="165" fontId="0" fillId="4" borderId="36" xfId="0" applyNumberFormat="1" applyFill="1" applyBorder="1" applyAlignment="1">
      <alignment horizontal="center"/>
    </xf>
    <xf numFmtId="165" fontId="0" fillId="4" borderId="101" xfId="0" applyNumberFormat="1" applyFill="1" applyBorder="1" applyAlignment="1">
      <alignment horizontal="center"/>
    </xf>
    <xf numFmtId="165" fontId="0" fillId="4" borderId="88" xfId="0" applyNumberFormat="1" applyFill="1" applyBorder="1" applyAlignment="1">
      <alignment horizontal="center"/>
    </xf>
    <xf numFmtId="165" fontId="0" fillId="4" borderId="102" xfId="0" applyNumberFormat="1" applyFill="1" applyBorder="1" applyAlignment="1">
      <alignment horizontal="center"/>
    </xf>
    <xf numFmtId="165" fontId="0" fillId="4" borderId="97" xfId="0" applyNumberFormat="1" applyFill="1" applyBorder="1" applyAlignment="1">
      <alignment horizontal="center"/>
    </xf>
    <xf numFmtId="0" fontId="10" fillId="36" borderId="0" xfId="0" applyFont="1" applyFill="1" applyBorder="1" applyAlignment="1">
      <alignment horizontal="center" vertical="center" wrapText="1"/>
    </xf>
    <xf numFmtId="0" fontId="0" fillId="36" borderId="0" xfId="0" applyFill="1" applyBorder="1" applyAlignment="1">
      <alignment wrapText="1"/>
    </xf>
    <xf numFmtId="0" fontId="0" fillId="36" borderId="18" xfId="0" applyFill="1" applyBorder="1" applyAlignment="1">
      <alignment wrapText="1"/>
    </xf>
    <xf numFmtId="0" fontId="0" fillId="36" borderId="25" xfId="0" applyFill="1" applyBorder="1" applyAlignment="1">
      <alignment wrapText="1"/>
    </xf>
    <xf numFmtId="0" fontId="0" fillId="36" borderId="0" xfId="0" applyFill="1" applyAlignment="1">
      <alignment wrapText="1"/>
    </xf>
    <xf numFmtId="3" fontId="0" fillId="36" borderId="28" xfId="0" applyNumberFormat="1" applyFill="1" applyBorder="1" applyAlignment="1">
      <alignment horizontal="center" vertical="center" wrapText="1"/>
    </xf>
    <xf numFmtId="3" fontId="0" fillId="36" borderId="27" xfId="0" applyNumberFormat="1" applyFill="1" applyBorder="1" applyAlignment="1">
      <alignment horizontal="center" vertical="center" wrapText="1"/>
    </xf>
    <xf numFmtId="3" fontId="10" fillId="36" borderId="27" xfId="0" applyNumberFormat="1" applyFont="1" applyFill="1" applyBorder="1" applyAlignment="1">
      <alignment horizontal="center" vertical="center" wrapText="1"/>
    </xf>
    <xf numFmtId="3" fontId="10" fillId="36" borderId="26" xfId="0" applyNumberFormat="1" applyFont="1" applyFill="1" applyBorder="1" applyAlignment="1">
      <alignment horizontal="center" vertical="center" wrapText="1"/>
    </xf>
    <xf numFmtId="0" fontId="10" fillId="36" borderId="18" xfId="0" applyFont="1" applyFill="1" applyBorder="1" applyAlignment="1">
      <alignment horizontal="center" vertical="center" wrapText="1"/>
    </xf>
    <xf numFmtId="3" fontId="0" fillId="36" borderId="0" xfId="0" applyNumberFormat="1" applyFill="1" applyBorder="1" applyAlignment="1">
      <alignment horizontal="center" vertical="center" wrapText="1"/>
    </xf>
    <xf numFmtId="3" fontId="0" fillId="36" borderId="24" xfId="0" applyNumberFormat="1" applyFill="1" applyBorder="1" applyAlignment="1">
      <alignment horizontal="center" vertical="center" wrapText="1"/>
    </xf>
    <xf numFmtId="3" fontId="0" fillId="36" borderId="3" xfId="0" applyNumberFormat="1" applyFill="1" applyBorder="1" applyAlignment="1">
      <alignment horizontal="center" vertical="center" wrapText="1"/>
    </xf>
    <xf numFmtId="3" fontId="10" fillId="36" borderId="3" xfId="0" applyNumberFormat="1" applyFont="1" applyFill="1" applyBorder="1" applyAlignment="1">
      <alignment horizontal="center" vertical="center" wrapText="1"/>
    </xf>
    <xf numFmtId="3" fontId="10" fillId="36" borderId="23" xfId="0" applyNumberFormat="1" applyFont="1" applyFill="1" applyBorder="1" applyAlignment="1">
      <alignment horizontal="center" vertical="center" wrapText="1"/>
    </xf>
    <xf numFmtId="1" fontId="10" fillId="36" borderId="18" xfId="0" applyNumberFormat="1" applyFont="1" applyFill="1" applyBorder="1" applyAlignment="1">
      <alignment horizontal="center" vertical="center" wrapText="1"/>
    </xf>
    <xf numFmtId="167" fontId="0" fillId="36" borderId="0" xfId="0" applyNumberFormat="1" applyFill="1" applyBorder="1" applyAlignment="1">
      <alignment horizontal="center" vertical="center" wrapText="1"/>
    </xf>
    <xf numFmtId="167" fontId="10" fillId="36" borderId="103" xfId="0" applyNumberFormat="1" applyFont="1" applyFill="1" applyBorder="1" applyAlignment="1">
      <alignment horizontal="center" vertical="center" wrapText="1"/>
    </xf>
    <xf numFmtId="167" fontId="10" fillId="36" borderId="104" xfId="0" applyNumberFormat="1" applyFont="1" applyFill="1" applyBorder="1" applyAlignment="1">
      <alignment horizontal="center" vertical="center" wrapText="1"/>
    </xf>
    <xf numFmtId="3" fontId="10" fillId="36" borderId="105" xfId="0" applyNumberFormat="1" applyFont="1" applyFill="1" applyBorder="1" applyAlignment="1">
      <alignment horizontal="right" vertical="center" wrapText="1"/>
    </xf>
    <xf numFmtId="3" fontId="10" fillId="36" borderId="0" xfId="0" applyNumberFormat="1" applyFont="1" applyFill="1" applyBorder="1" applyAlignment="1">
      <alignment horizontal="right" vertical="center" wrapText="1"/>
    </xf>
    <xf numFmtId="171" fontId="0" fillId="36" borderId="0" xfId="0" applyNumberFormat="1" applyFont="1" applyFill="1" applyBorder="1" applyAlignment="1">
      <alignment horizontal="right" vertical="center" wrapText="1"/>
    </xf>
    <xf numFmtId="10" fontId="0" fillId="36" borderId="0" xfId="0" applyNumberFormat="1" applyFont="1" applyFill="1" applyBorder="1" applyAlignment="1">
      <alignment horizontal="right" vertical="center" wrapText="1"/>
    </xf>
    <xf numFmtId="10" fontId="0" fillId="36" borderId="0" xfId="0" applyNumberFormat="1" applyFill="1" applyBorder="1" applyAlignment="1">
      <alignment horizontal="center" vertical="center" wrapText="1"/>
    </xf>
    <xf numFmtId="9" fontId="0" fillId="36" borderId="0" xfId="32" applyFont="1" applyFill="1" applyBorder="1" applyAlignment="1" applyProtection="1">
      <alignment horizontal="center" vertical="center" wrapText="1"/>
      <protection/>
    </xf>
    <xf numFmtId="3" fontId="0" fillId="36" borderId="0" xfId="0" applyNumberFormat="1" applyFill="1" applyBorder="1" applyAlignment="1">
      <alignment wrapText="1"/>
    </xf>
    <xf numFmtId="0" fontId="10" fillId="36" borderId="18" xfId="0" applyFont="1" applyFill="1" applyBorder="1" applyAlignment="1">
      <alignment horizontal="center" wrapText="1"/>
    </xf>
    <xf numFmtId="171" fontId="0" fillId="36" borderId="0" xfId="0" applyNumberFormat="1" applyFill="1" applyBorder="1" applyAlignment="1">
      <alignment horizontal="center" vertical="center" wrapText="1"/>
    </xf>
    <xf numFmtId="0" fontId="10" fillId="36" borderId="0" xfId="0" applyFont="1" applyFill="1" applyBorder="1" applyAlignment="1">
      <alignment horizontal="center" wrapText="1"/>
    </xf>
    <xf numFmtId="0" fontId="19" fillId="36" borderId="0" xfId="0" applyFont="1" applyFill="1" applyBorder="1" applyAlignment="1">
      <alignment horizontal="center" wrapText="1"/>
    </xf>
    <xf numFmtId="0" fontId="19" fillId="36" borderId="18" xfId="0" applyFont="1" applyFill="1" applyBorder="1" applyAlignment="1">
      <alignment horizontal="center" wrapText="1"/>
    </xf>
    <xf numFmtId="0" fontId="0" fillId="37" borderId="19" xfId="0" applyFill="1" applyBorder="1" applyAlignment="1">
      <alignment wrapText="1"/>
    </xf>
    <xf numFmtId="0" fontId="0" fillId="37" borderId="36" xfId="0" applyFont="1" applyFill="1" applyBorder="1" applyAlignment="1">
      <alignment wrapText="1"/>
    </xf>
    <xf numFmtId="0" fontId="0" fillId="37" borderId="0" xfId="0" applyFill="1" applyBorder="1" applyAlignment="1">
      <alignment wrapText="1"/>
    </xf>
    <xf numFmtId="0" fontId="0" fillId="37" borderId="18" xfId="0" applyFill="1" applyBorder="1" applyAlignment="1">
      <alignment wrapText="1"/>
    </xf>
    <xf numFmtId="10" fontId="0" fillId="37" borderId="0" xfId="0" applyNumberFormat="1" applyFill="1" applyBorder="1" applyAlignment="1">
      <alignment horizontal="center" vertical="center" wrapText="1"/>
    </xf>
    <xf numFmtId="0" fontId="10" fillId="37" borderId="0" xfId="0" applyFont="1" applyFill="1" applyBorder="1" applyAlignment="1">
      <alignment horizontal="center" vertical="center" wrapText="1"/>
    </xf>
    <xf numFmtId="167" fontId="0" fillId="37" borderId="0" xfId="0" applyNumberFormat="1" applyFill="1" applyBorder="1" applyAlignment="1">
      <alignment horizontal="center" vertical="center" wrapText="1"/>
    </xf>
    <xf numFmtId="3" fontId="10" fillId="37" borderId="0" xfId="0" applyNumberFormat="1" applyFont="1" applyFill="1" applyBorder="1" applyAlignment="1">
      <alignment horizontal="center" vertical="center" wrapText="1"/>
    </xf>
    <xf numFmtId="0" fontId="0" fillId="37" borderId="18" xfId="0" applyFont="1" applyFill="1" applyBorder="1" applyAlignment="1">
      <alignment horizontal="center" wrapText="1"/>
    </xf>
    <xf numFmtId="3" fontId="0" fillId="37" borderId="0" xfId="0" applyNumberFormat="1" applyFill="1" applyBorder="1" applyAlignment="1">
      <alignment wrapText="1"/>
    </xf>
    <xf numFmtId="3" fontId="0" fillId="37" borderId="0" xfId="0" applyNumberFormat="1" applyFill="1" applyBorder="1" applyAlignment="1">
      <alignment horizontal="center" wrapText="1"/>
    </xf>
    <xf numFmtId="3" fontId="0" fillId="37" borderId="0" xfId="0" applyNumberFormat="1" applyFill="1" applyBorder="1" applyAlignment="1">
      <alignment horizontal="center" vertical="center" wrapText="1"/>
    </xf>
    <xf numFmtId="0" fontId="10" fillId="37" borderId="18" xfId="0" applyFont="1" applyFill="1" applyBorder="1" applyAlignment="1">
      <alignment horizontal="center" vertical="center" wrapText="1"/>
    </xf>
    <xf numFmtId="1" fontId="0" fillId="37" borderId="0" xfId="0" applyNumberFormat="1" applyFill="1" applyBorder="1" applyAlignment="1">
      <alignment horizontal="center" vertical="center" wrapText="1"/>
    </xf>
    <xf numFmtId="0" fontId="10" fillId="37" borderId="18" xfId="0" applyFont="1" applyFill="1" applyBorder="1" applyAlignment="1">
      <alignment horizontal="center" wrapText="1"/>
    </xf>
    <xf numFmtId="169" fontId="0" fillId="37" borderId="0" xfId="0" applyNumberFormat="1" applyFill="1" applyBorder="1" applyAlignment="1">
      <alignment horizontal="center" vertical="center" wrapText="1"/>
    </xf>
    <xf numFmtId="171" fontId="0" fillId="37" borderId="0" xfId="0" applyNumberFormat="1" applyFont="1" applyFill="1" applyBorder="1" applyAlignment="1">
      <alignment horizontal="center" vertical="center" wrapText="1"/>
    </xf>
    <xf numFmtId="0" fontId="19" fillId="37" borderId="0" xfId="0" applyFont="1" applyFill="1" applyBorder="1" applyAlignment="1">
      <alignment horizontal="center" wrapText="1"/>
    </xf>
    <xf numFmtId="0" fontId="19" fillId="37" borderId="18" xfId="0" applyFont="1" applyFill="1" applyBorder="1" applyAlignment="1">
      <alignment horizontal="center" wrapText="1"/>
    </xf>
    <xf numFmtId="0" fontId="0" fillId="37" borderId="19" xfId="0" applyFill="1" applyBorder="1" applyAlignment="1">
      <alignment horizontal="center" wrapText="1"/>
    </xf>
    <xf numFmtId="0" fontId="0" fillId="37" borderId="36" xfId="0" applyFont="1" applyFill="1" applyBorder="1" applyAlignment="1">
      <alignment horizontal="center" wrapText="1"/>
    </xf>
    <xf numFmtId="0" fontId="0" fillId="37" borderId="0" xfId="0" applyFill="1" applyBorder="1" applyAlignment="1">
      <alignment horizontal="center" wrapText="1"/>
    </xf>
    <xf numFmtId="9" fontId="0" fillId="37" borderId="0" xfId="32" applyFont="1" applyFill="1" applyBorder="1" applyAlignment="1" applyProtection="1">
      <alignment horizontal="center" vertical="center" wrapText="1"/>
      <protection/>
    </xf>
    <xf numFmtId="0" fontId="0" fillId="37" borderId="18" xfId="0" applyFont="1" applyFill="1" applyBorder="1" applyAlignment="1">
      <alignment horizontal="left" wrapText="1"/>
    </xf>
    <xf numFmtId="165" fontId="0" fillId="37" borderId="0" xfId="0" applyNumberFormat="1" applyFill="1" applyBorder="1" applyAlignment="1">
      <alignment horizontal="center" vertical="center" wrapText="1"/>
    </xf>
    <xf numFmtId="165" fontId="0" fillId="37" borderId="19" xfId="0" applyNumberFormat="1" applyFill="1" applyBorder="1" applyAlignment="1">
      <alignment horizontal="center" vertical="center" wrapText="1"/>
    </xf>
    <xf numFmtId="0" fontId="10" fillId="37" borderId="19" xfId="0" applyFont="1" applyFill="1" applyBorder="1" applyAlignment="1">
      <alignment horizontal="center" vertical="center" wrapText="1"/>
    </xf>
    <xf numFmtId="0" fontId="0" fillId="37" borderId="36" xfId="0" applyFont="1" applyFill="1" applyBorder="1" applyAlignment="1">
      <alignment horizontal="left" wrapText="1"/>
    </xf>
    <xf numFmtId="3" fontId="22" fillId="20" borderId="17" xfId="0" applyNumberFormat="1" applyFont="1" applyFill="1" applyBorder="1" applyAlignment="1">
      <alignment wrapText="1"/>
    </xf>
    <xf numFmtId="168" fontId="22" fillId="20" borderId="46" xfId="0" applyNumberFormat="1" applyFont="1" applyFill="1" applyBorder="1" applyAlignment="1">
      <alignment wrapText="1"/>
    </xf>
    <xf numFmtId="3" fontId="22" fillId="38" borderId="17" xfId="0" applyNumberFormat="1" applyFont="1" applyFill="1" applyBorder="1" applyAlignment="1">
      <alignment wrapText="1"/>
    </xf>
    <xf numFmtId="168" fontId="22" fillId="38" borderId="46" xfId="0" applyNumberFormat="1" applyFont="1" applyFill="1" applyBorder="1" applyAlignment="1">
      <alignment wrapText="1"/>
    </xf>
    <xf numFmtId="0" fontId="22" fillId="4" borderId="106" xfId="0" applyFont="1" applyFill="1" applyBorder="1" applyAlignment="1">
      <alignment wrapText="1"/>
    </xf>
    <xf numFmtId="0" fontId="22" fillId="20" borderId="41" xfId="0" applyFont="1" applyFill="1" applyBorder="1" applyAlignment="1">
      <alignment wrapText="1"/>
    </xf>
    <xf numFmtId="168" fontId="22" fillId="20" borderId="45" xfId="0" applyNumberFormat="1" applyFont="1" applyFill="1" applyBorder="1" applyAlignment="1">
      <alignment wrapText="1"/>
    </xf>
    <xf numFmtId="0" fontId="22" fillId="38" borderId="41" xfId="0" applyFont="1" applyFill="1" applyBorder="1" applyAlignment="1">
      <alignment wrapText="1"/>
    </xf>
    <xf numFmtId="168" fontId="22" fillId="38" borderId="45" xfId="0" applyNumberFormat="1" applyFont="1" applyFill="1" applyBorder="1" applyAlignment="1">
      <alignment wrapText="1"/>
    </xf>
    <xf numFmtId="0" fontId="22" fillId="4" borderId="107" xfId="0" applyFont="1" applyFill="1" applyBorder="1" applyAlignment="1">
      <alignment wrapText="1"/>
    </xf>
    <xf numFmtId="3" fontId="22" fillId="20" borderId="41" xfId="0" applyNumberFormat="1" applyFont="1" applyFill="1" applyBorder="1" applyAlignment="1">
      <alignment wrapText="1"/>
    </xf>
    <xf numFmtId="3" fontId="22" fillId="38" borderId="41" xfId="0" applyNumberFormat="1" applyFont="1" applyFill="1" applyBorder="1" applyAlignment="1">
      <alignment wrapText="1"/>
    </xf>
    <xf numFmtId="3" fontId="0" fillId="12" borderId="106" xfId="0" applyNumberFormat="1" applyFill="1" applyBorder="1" applyAlignment="1">
      <alignment wrapText="1"/>
    </xf>
    <xf numFmtId="0" fontId="0" fillId="37" borderId="18" xfId="0" applyFont="1" applyFill="1" applyBorder="1" applyAlignment="1">
      <alignment horizontal="center" vertical="center" wrapText="1"/>
    </xf>
    <xf numFmtId="0" fontId="0" fillId="12" borderId="108" xfId="0" applyFont="1" applyFill="1" applyBorder="1" applyAlignment="1">
      <alignment wrapText="1"/>
    </xf>
    <xf numFmtId="0" fontId="22" fillId="4" borderId="108" xfId="0" applyFont="1" applyFill="1" applyBorder="1" applyAlignment="1">
      <alignment wrapText="1"/>
    </xf>
    <xf numFmtId="0" fontId="19" fillId="0" borderId="0" xfId="0" applyFont="1" applyAlignment="1">
      <alignment horizontal="center" wrapText="1"/>
    </xf>
    <xf numFmtId="0" fontId="0" fillId="4" borderId="109" xfId="0" applyFont="1" applyFill="1" applyBorder="1" applyAlignment="1">
      <alignment horizontal="center" wrapText="1"/>
    </xf>
    <xf numFmtId="2" fontId="0" fillId="4" borderId="67" xfId="0" applyNumberFormat="1" applyFill="1" applyBorder="1" applyAlignment="1">
      <alignment horizontal="center" wrapText="1"/>
    </xf>
    <xf numFmtId="2" fontId="0" fillId="4" borderId="110" xfId="0" applyNumberFormat="1" applyFill="1" applyBorder="1" applyAlignment="1">
      <alignment horizontal="center" wrapText="1"/>
    </xf>
    <xf numFmtId="2" fontId="0" fillId="4" borderId="111" xfId="0" applyNumberFormat="1" applyFill="1" applyBorder="1" applyAlignment="1">
      <alignment horizontal="center" wrapText="1"/>
    </xf>
    <xf numFmtId="2" fontId="0" fillId="5" borderId="111" xfId="0" applyNumberFormat="1" applyFill="1" applyBorder="1" applyAlignment="1">
      <alignment horizontal="center" wrapText="1"/>
    </xf>
    <xf numFmtId="2" fontId="0" fillId="6" borderId="111" xfId="0" applyNumberFormat="1" applyFont="1" applyFill="1" applyBorder="1" applyAlignment="1">
      <alignment horizontal="center" wrapText="1"/>
    </xf>
    <xf numFmtId="2" fontId="0" fillId="7" borderId="111" xfId="0" applyNumberFormat="1" applyFill="1" applyBorder="1" applyAlignment="1">
      <alignment horizontal="center" wrapText="1"/>
    </xf>
    <xf numFmtId="2" fontId="0" fillId="3" borderId="112" xfId="0" applyNumberFormat="1" applyFill="1" applyBorder="1" applyAlignment="1">
      <alignment horizontal="center" wrapText="1"/>
    </xf>
    <xf numFmtId="0" fontId="14" fillId="0" borderId="59" xfId="0" applyFont="1" applyFill="1" applyBorder="1" applyAlignment="1">
      <alignment horizontal="center" wrapText="1"/>
    </xf>
    <xf numFmtId="0" fontId="0" fillId="0" borderId="113" xfId="0" applyBorder="1" applyAlignment="1">
      <alignment/>
    </xf>
    <xf numFmtId="0" fontId="10" fillId="0" borderId="114" xfId="0" applyFont="1" applyBorder="1" applyAlignment="1">
      <alignment horizontal="center" wrapText="1"/>
    </xf>
    <xf numFmtId="2" fontId="10" fillId="0" borderId="114" xfId="0" applyNumberFormat="1" applyFont="1" applyBorder="1" applyAlignment="1">
      <alignment horizontal="center" wrapText="1"/>
    </xf>
    <xf numFmtId="2" fontId="10" fillId="0" borderId="115" xfId="0" applyNumberFormat="1" applyFont="1" applyBorder="1" applyAlignment="1">
      <alignment horizontal="center" wrapText="1"/>
    </xf>
    <xf numFmtId="10" fontId="0" fillId="10" borderId="59" xfId="0" applyNumberFormat="1" applyFill="1" applyBorder="1" applyAlignment="1">
      <alignment wrapText="1"/>
    </xf>
    <xf numFmtId="10" fontId="0" fillId="39" borderId="59" xfId="0" applyNumberFormat="1" applyFill="1" applyBorder="1" applyAlignment="1">
      <alignment wrapText="1"/>
    </xf>
    <xf numFmtId="0" fontId="0" fillId="30" borderId="82" xfId="0" applyFill="1" applyBorder="1" applyAlignment="1">
      <alignment horizontal="right" wrapText="1"/>
    </xf>
    <xf numFmtId="0" fontId="0" fillId="8" borderId="64" xfId="0" applyFill="1" applyBorder="1" applyAlignment="1">
      <alignment/>
    </xf>
    <xf numFmtId="0" fontId="0" fillId="8" borderId="66" xfId="0" applyFill="1" applyBorder="1" applyAlignment="1">
      <alignment/>
    </xf>
    <xf numFmtId="0" fontId="0" fillId="8" borderId="67" xfId="0" applyFill="1" applyBorder="1" applyAlignment="1">
      <alignment/>
    </xf>
    <xf numFmtId="0" fontId="0" fillId="8" borderId="68" xfId="0" applyFill="1" applyBorder="1" applyAlignment="1">
      <alignment/>
    </xf>
    <xf numFmtId="0" fontId="0" fillId="8" borderId="69" xfId="0" applyFill="1" applyBorder="1" applyAlignment="1">
      <alignment/>
    </xf>
    <xf numFmtId="0" fontId="0" fillId="8" borderId="71" xfId="0" applyFill="1" applyBorder="1" applyAlignment="1">
      <alignment/>
    </xf>
    <xf numFmtId="9" fontId="0" fillId="8" borderId="68" xfId="0" applyNumberFormat="1" applyFill="1" applyBorder="1" applyAlignment="1">
      <alignment/>
    </xf>
    <xf numFmtId="9" fontId="0" fillId="8" borderId="71" xfId="0" applyNumberFormat="1" applyFill="1" applyBorder="1" applyAlignment="1">
      <alignment/>
    </xf>
    <xf numFmtId="0" fontId="0" fillId="40" borderId="59" xfId="0" applyFill="1" applyBorder="1" applyAlignment="1">
      <alignment/>
    </xf>
    <xf numFmtId="173" fontId="0" fillId="40" borderId="59" xfId="0" applyNumberFormat="1" applyFill="1" applyBorder="1" applyAlignment="1">
      <alignment/>
    </xf>
    <xf numFmtId="2" fontId="0" fillId="40" borderId="59" xfId="0" applyNumberFormat="1" applyFill="1" applyBorder="1" applyAlignment="1">
      <alignment/>
    </xf>
    <xf numFmtId="165" fontId="0" fillId="8" borderId="59" xfId="0" applyNumberFormat="1" applyFill="1" applyBorder="1" applyAlignment="1">
      <alignment/>
    </xf>
    <xf numFmtId="165" fontId="0" fillId="40" borderId="59" xfId="0" applyNumberFormat="1" applyFill="1" applyBorder="1" applyAlignment="1">
      <alignment/>
    </xf>
    <xf numFmtId="0" fontId="0" fillId="40" borderId="116" xfId="0" applyFont="1" applyFill="1" applyBorder="1" applyAlignment="1">
      <alignment wrapText="1"/>
    </xf>
    <xf numFmtId="0" fontId="0" fillId="40" borderId="95" xfId="0" applyFill="1" applyBorder="1" applyAlignment="1">
      <alignment/>
    </xf>
    <xf numFmtId="0" fontId="0" fillId="40" borderId="117" xfId="0" applyFont="1" applyFill="1" applyBorder="1" applyAlignment="1">
      <alignment wrapText="1"/>
    </xf>
    <xf numFmtId="0" fontId="0" fillId="40" borderId="92" xfId="0" applyFill="1" applyBorder="1" applyAlignment="1">
      <alignment/>
    </xf>
    <xf numFmtId="0" fontId="0" fillId="40" borderId="117" xfId="0" applyFill="1" applyBorder="1" applyAlignment="1">
      <alignment horizontal="right"/>
    </xf>
    <xf numFmtId="0" fontId="0" fillId="40" borderId="117" xfId="0" applyFill="1" applyBorder="1" applyAlignment="1">
      <alignment/>
    </xf>
    <xf numFmtId="0" fontId="0" fillId="40" borderId="118" xfId="0" applyFill="1" applyBorder="1" applyAlignment="1">
      <alignment horizontal="right"/>
    </xf>
    <xf numFmtId="165" fontId="0" fillId="40" borderId="97" xfId="0" applyNumberFormat="1" applyFill="1" applyBorder="1" applyAlignment="1">
      <alignment/>
    </xf>
    <xf numFmtId="0" fontId="0" fillId="40" borderId="93" xfId="0" applyFill="1" applyBorder="1" applyAlignment="1">
      <alignment/>
    </xf>
    <xf numFmtId="0" fontId="0" fillId="40" borderId="98" xfId="0" applyFill="1" applyBorder="1" applyAlignment="1">
      <alignment/>
    </xf>
    <xf numFmtId="2" fontId="0" fillId="41" borderId="3" xfId="0" applyNumberFormat="1" applyFill="1" applyBorder="1" applyAlignment="1">
      <alignment/>
    </xf>
    <xf numFmtId="0" fontId="0" fillId="3" borderId="33" xfId="0" applyFont="1" applyFill="1" applyBorder="1" applyAlignment="1">
      <alignment/>
    </xf>
    <xf numFmtId="2" fontId="0" fillId="41" borderId="11" xfId="0" applyNumberFormat="1" applyFill="1" applyBorder="1" applyAlignment="1">
      <alignment/>
    </xf>
    <xf numFmtId="0" fontId="0" fillId="3" borderId="59" xfId="0" applyFont="1" applyFill="1" applyBorder="1" applyAlignment="1">
      <alignment/>
    </xf>
    <xf numFmtId="0" fontId="0" fillId="42" borderId="11" xfId="0" applyFill="1" applyBorder="1" applyAlignment="1">
      <alignment horizontal="left" wrapText="1"/>
    </xf>
    <xf numFmtId="0" fontId="0" fillId="42" borderId="3" xfId="0" applyFill="1" applyBorder="1" applyAlignment="1">
      <alignment wrapText="1"/>
    </xf>
    <xf numFmtId="0" fontId="0" fillId="42" borderId="3" xfId="0" applyFill="1" applyBorder="1" applyAlignment="1">
      <alignment/>
    </xf>
    <xf numFmtId="2" fontId="0" fillId="42" borderId="3" xfId="0" applyNumberFormat="1" applyFill="1" applyBorder="1" applyAlignment="1">
      <alignment/>
    </xf>
    <xf numFmtId="2" fontId="0" fillId="42" borderId="16" xfId="0" applyNumberFormat="1" applyFill="1" applyBorder="1" applyAlignment="1">
      <alignment/>
    </xf>
    <xf numFmtId="0" fontId="0" fillId="0" borderId="116" xfId="0" applyBorder="1" applyAlignment="1">
      <alignment/>
    </xf>
    <xf numFmtId="0" fontId="0" fillId="0" borderId="98" xfId="0" applyBorder="1" applyAlignment="1">
      <alignment/>
    </xf>
    <xf numFmtId="0" fontId="0" fillId="0" borderId="117" xfId="0" applyBorder="1" applyAlignment="1">
      <alignment/>
    </xf>
    <xf numFmtId="0" fontId="0" fillId="0" borderId="92" xfId="0" applyBorder="1" applyAlignment="1">
      <alignment/>
    </xf>
    <xf numFmtId="0" fontId="0" fillId="43" borderId="118" xfId="0" applyFill="1" applyBorder="1" applyAlignment="1">
      <alignment wrapText="1"/>
    </xf>
    <xf numFmtId="0" fontId="0" fillId="43" borderId="93" xfId="0" applyFill="1" applyBorder="1" applyAlignment="1">
      <alignment/>
    </xf>
    <xf numFmtId="10" fontId="0" fillId="0" borderId="0" xfId="0" applyNumberFormat="1" applyAlignment="1">
      <alignment/>
    </xf>
    <xf numFmtId="0" fontId="10" fillId="44" borderId="59" xfId="0" applyFont="1" applyFill="1" applyBorder="1" applyAlignment="1">
      <alignment wrapText="1"/>
    </xf>
    <xf numFmtId="10" fontId="0" fillId="44" borderId="59" xfId="0" applyNumberFormat="1" applyFill="1" applyBorder="1" applyAlignment="1">
      <alignment/>
    </xf>
    <xf numFmtId="168" fontId="10" fillId="44" borderId="59" xfId="0" applyNumberFormat="1" applyFont="1" applyFill="1" applyBorder="1" applyAlignment="1">
      <alignment horizontal="right"/>
    </xf>
    <xf numFmtId="1" fontId="0" fillId="44" borderId="59" xfId="0" applyNumberFormat="1" applyFill="1" applyBorder="1" applyAlignment="1">
      <alignment/>
    </xf>
    <xf numFmtId="0" fontId="0" fillId="44" borderId="59" xfId="0" applyFill="1" applyBorder="1" applyAlignment="1">
      <alignment/>
    </xf>
    <xf numFmtId="0" fontId="10" fillId="13" borderId="89" xfId="0" applyFont="1" applyFill="1" applyBorder="1" applyAlignment="1">
      <alignment wrapText="1"/>
    </xf>
    <xf numFmtId="0" fontId="0" fillId="13" borderId="89" xfId="0" applyFill="1" applyBorder="1" applyAlignment="1">
      <alignment/>
    </xf>
    <xf numFmtId="0" fontId="10" fillId="0" borderId="119" xfId="0" applyFont="1" applyFill="1" applyBorder="1" applyAlignment="1">
      <alignment wrapText="1"/>
    </xf>
    <xf numFmtId="0" fontId="0" fillId="0" borderId="100" xfId="0" applyBorder="1" applyAlignment="1">
      <alignment/>
    </xf>
    <xf numFmtId="2" fontId="0" fillId="16" borderId="3" xfId="0" applyNumberFormat="1" applyFill="1" applyBorder="1" applyAlignment="1">
      <alignment horizontal="center"/>
    </xf>
    <xf numFmtId="9" fontId="0" fillId="16" borderId="35" xfId="0" applyNumberFormat="1" applyFill="1" applyBorder="1" applyAlignment="1">
      <alignment wrapText="1"/>
    </xf>
    <xf numFmtId="10" fontId="0" fillId="16" borderId="33" xfId="0" applyNumberFormat="1" applyFill="1" applyBorder="1" applyAlignment="1">
      <alignment wrapText="1"/>
    </xf>
    <xf numFmtId="10" fontId="0" fillId="16" borderId="33" xfId="0" applyNumberFormat="1" applyFill="1" applyBorder="1" applyAlignment="1">
      <alignment/>
    </xf>
    <xf numFmtId="0" fontId="0" fillId="8" borderId="36" xfId="0" applyFont="1" applyFill="1" applyBorder="1" applyAlignment="1">
      <alignment wrapText="1"/>
    </xf>
    <xf numFmtId="0" fontId="0" fillId="0" borderId="75" xfId="0" applyBorder="1" applyAlignment="1">
      <alignment wrapText="1"/>
    </xf>
    <xf numFmtId="9" fontId="0" fillId="0" borderId="77" xfId="32" applyBorder="1" applyAlignment="1">
      <alignment/>
    </xf>
    <xf numFmtId="9" fontId="0" fillId="0" borderId="76" xfId="32" applyBorder="1" applyAlignment="1">
      <alignment/>
    </xf>
    <xf numFmtId="195" fontId="0" fillId="0" borderId="0" xfId="0" applyNumberFormat="1" applyAlignment="1">
      <alignment wrapText="1"/>
    </xf>
    <xf numFmtId="0" fontId="45" fillId="0" borderId="0" xfId="0" applyFont="1" applyAlignment="1">
      <alignment/>
    </xf>
    <xf numFmtId="0" fontId="0" fillId="8" borderId="33" xfId="0" applyFill="1" applyBorder="1" applyAlignment="1">
      <alignment wrapText="1"/>
    </xf>
    <xf numFmtId="3" fontId="46" fillId="0" borderId="0" xfId="31" applyNumberFormat="1" applyFont="1" applyFill="1" applyBorder="1" applyProtection="1">
      <alignment/>
      <protection/>
    </xf>
    <xf numFmtId="3" fontId="0" fillId="0" borderId="0" xfId="0" applyNumberFormat="1" applyAlignment="1">
      <alignment/>
    </xf>
    <xf numFmtId="179" fontId="0" fillId="0" borderId="0" xfId="0" applyNumberFormat="1" applyAlignment="1">
      <alignment/>
    </xf>
    <xf numFmtId="0" fontId="48" fillId="0" borderId="0" xfId="0" applyFont="1" applyAlignment="1">
      <alignment/>
    </xf>
    <xf numFmtId="10" fontId="49" fillId="0" borderId="0" xfId="32" applyNumberFormat="1" applyFont="1" applyAlignment="1">
      <alignment/>
    </xf>
    <xf numFmtId="173" fontId="0" fillId="0" borderId="0" xfId="0" applyNumberFormat="1" applyAlignment="1">
      <alignment/>
    </xf>
    <xf numFmtId="1" fontId="0" fillId="0" borderId="0" xfId="0" applyNumberFormat="1" applyAlignment="1">
      <alignment/>
    </xf>
    <xf numFmtId="11" fontId="0" fillId="0" borderId="0" xfId="0" applyNumberFormat="1" applyAlignment="1">
      <alignment/>
    </xf>
    <xf numFmtId="2" fontId="0" fillId="0" borderId="0" xfId="0" applyNumberFormat="1" applyAlignment="1">
      <alignment/>
    </xf>
    <xf numFmtId="0" fontId="50" fillId="0" borderId="0" xfId="0" applyFont="1" applyAlignment="1">
      <alignment/>
    </xf>
    <xf numFmtId="165" fontId="0" fillId="0" borderId="0" xfId="0" applyNumberFormat="1" applyAlignment="1">
      <alignment/>
    </xf>
    <xf numFmtId="197" fontId="0" fillId="0" borderId="0" xfId="0" applyNumberFormat="1" applyAlignment="1">
      <alignment/>
    </xf>
    <xf numFmtId="0" fontId="19" fillId="37" borderId="34" xfId="0" applyFont="1" applyFill="1" applyBorder="1" applyAlignment="1">
      <alignment horizontal="center" wrapText="1"/>
    </xf>
    <xf numFmtId="0" fontId="20" fillId="19" borderId="120" xfId="0" applyFont="1" applyFill="1" applyBorder="1" applyAlignment="1">
      <alignment horizontal="center" vertical="center"/>
    </xf>
    <xf numFmtId="0" fontId="20" fillId="19" borderId="121" xfId="0" applyFont="1" applyFill="1" applyBorder="1" applyAlignment="1">
      <alignment horizontal="center" vertical="center"/>
    </xf>
    <xf numFmtId="0" fontId="13" fillId="0" borderId="0" xfId="0" applyFont="1" applyFill="1" applyBorder="1" applyAlignment="1">
      <alignment horizontal="center" wrapText="1"/>
    </xf>
    <xf numFmtId="0" fontId="13" fillId="4" borderId="78" xfId="0" applyFont="1" applyFill="1" applyBorder="1" applyAlignment="1">
      <alignment horizontal="center" wrapText="1"/>
    </xf>
    <xf numFmtId="0" fontId="13" fillId="4" borderId="100" xfId="0" applyFont="1" applyFill="1" applyBorder="1" applyAlignment="1">
      <alignment horizontal="center" wrapText="1"/>
    </xf>
    <xf numFmtId="0" fontId="14" fillId="0" borderId="0" xfId="0" applyFont="1" applyBorder="1" applyAlignment="1">
      <alignment horizontal="center" wrapText="1"/>
    </xf>
    <xf numFmtId="0" fontId="21" fillId="16" borderId="78" xfId="0" applyFont="1" applyFill="1" applyBorder="1" applyAlignment="1">
      <alignment horizontal="center" vertical="center" wrapText="1"/>
    </xf>
    <xf numFmtId="0" fontId="21" fillId="16" borderId="82" xfId="0" applyFont="1" applyFill="1" applyBorder="1" applyAlignment="1">
      <alignment horizontal="center" vertical="center" wrapText="1"/>
    </xf>
    <xf numFmtId="0" fontId="21" fillId="16" borderId="78" xfId="0" applyFont="1" applyFill="1" applyBorder="1" applyAlignment="1">
      <alignment horizontal="center" vertical="center"/>
    </xf>
    <xf numFmtId="0" fontId="21" fillId="16" borderId="82" xfId="0" applyFont="1" applyFill="1" applyBorder="1" applyAlignment="1">
      <alignment horizontal="center" vertical="center"/>
    </xf>
    <xf numFmtId="0" fontId="21" fillId="16" borderId="53" xfId="0" applyFont="1" applyFill="1" applyBorder="1" applyAlignment="1">
      <alignment horizontal="center" vertical="center"/>
    </xf>
    <xf numFmtId="0" fontId="22" fillId="0" borderId="0" xfId="0" applyFont="1" applyFill="1" applyBorder="1" applyAlignment="1">
      <alignment horizontal="center" wrapText="1"/>
    </xf>
    <xf numFmtId="0" fontId="0" fillId="24" borderId="3" xfId="0" applyFont="1" applyFill="1" applyBorder="1" applyAlignment="1">
      <alignment horizontal="right" wrapText="1"/>
    </xf>
    <xf numFmtId="2" fontId="13" fillId="17" borderId="106" xfId="0" applyNumberFormat="1" applyFont="1" applyFill="1" applyBorder="1" applyAlignment="1">
      <alignment horizontal="center"/>
    </xf>
    <xf numFmtId="2" fontId="13" fillId="17" borderId="122" xfId="0" applyNumberFormat="1" applyFont="1" applyFill="1" applyBorder="1" applyAlignment="1">
      <alignment horizontal="center"/>
    </xf>
    <xf numFmtId="0" fontId="19" fillId="38" borderId="108" xfId="0" applyFont="1" applyFill="1" applyBorder="1" applyAlignment="1">
      <alignment horizontal="center" wrapText="1"/>
    </xf>
    <xf numFmtId="0" fontId="19" fillId="20" borderId="108" xfId="0" applyFont="1" applyFill="1" applyBorder="1" applyAlignment="1">
      <alignment horizontal="center" wrapText="1"/>
    </xf>
    <xf numFmtId="0" fontId="10" fillId="37" borderId="0" xfId="0" applyFont="1" applyFill="1" applyBorder="1" applyAlignment="1">
      <alignment horizontal="center" vertical="center" wrapText="1"/>
    </xf>
    <xf numFmtId="0" fontId="19" fillId="36" borderId="34" xfId="0" applyFont="1" applyFill="1" applyBorder="1" applyAlignment="1">
      <alignment horizontal="center" wrapText="1"/>
    </xf>
    <xf numFmtId="0" fontId="10" fillId="36" borderId="0" xfId="0" applyFont="1" applyFill="1" applyBorder="1" applyAlignment="1">
      <alignment horizontal="center" vertical="center" wrapText="1"/>
    </xf>
    <xf numFmtId="0" fontId="19" fillId="14" borderId="12" xfId="0" applyFont="1" applyFill="1" applyBorder="1" applyAlignment="1">
      <alignment horizontal="center" wrapText="1"/>
    </xf>
    <xf numFmtId="0" fontId="19" fillId="14" borderId="34" xfId="0" applyFont="1" applyFill="1" applyBorder="1" applyAlignment="1">
      <alignment horizontal="center" wrapText="1"/>
    </xf>
    <xf numFmtId="0" fontId="10" fillId="14" borderId="0" xfId="0" applyFont="1" applyFill="1" applyBorder="1" applyAlignment="1">
      <alignment horizontal="center" vertical="center" wrapText="1"/>
    </xf>
    <xf numFmtId="2" fontId="10" fillId="14" borderId="21" xfId="0" applyNumberFormat="1" applyFont="1" applyFill="1" applyBorder="1" applyAlignment="1">
      <alignment horizontal="center" vertical="center" wrapText="1"/>
    </xf>
    <xf numFmtId="0" fontId="13" fillId="16" borderId="123" xfId="0" applyFont="1" applyFill="1" applyBorder="1" applyAlignment="1">
      <alignment horizontal="center" wrapText="1"/>
    </xf>
    <xf numFmtId="0" fontId="13" fillId="16" borderId="124" xfId="0" applyFont="1" applyFill="1" applyBorder="1" applyAlignment="1">
      <alignment horizontal="center" wrapText="1"/>
    </xf>
    <xf numFmtId="0" fontId="13" fillId="16" borderId="125" xfId="0" applyFont="1" applyFill="1" applyBorder="1" applyAlignment="1">
      <alignment horizontal="center" wrapText="1"/>
    </xf>
    <xf numFmtId="0" fontId="13" fillId="4" borderId="123" xfId="0" applyFont="1" applyFill="1" applyBorder="1" applyAlignment="1">
      <alignment horizontal="center" wrapText="1"/>
    </xf>
    <xf numFmtId="0" fontId="13" fillId="4" borderId="124" xfId="0" applyFont="1" applyFill="1" applyBorder="1" applyAlignment="1">
      <alignment horizontal="center" wrapText="1"/>
    </xf>
    <xf numFmtId="0" fontId="13" fillId="4" borderId="125" xfId="0" applyFont="1" applyFill="1" applyBorder="1" applyAlignment="1">
      <alignment horizontal="center" wrapText="1"/>
    </xf>
    <xf numFmtId="0" fontId="13" fillId="17" borderId="123" xfId="0" applyFont="1" applyFill="1" applyBorder="1" applyAlignment="1">
      <alignment horizontal="center" wrapText="1"/>
    </xf>
    <xf numFmtId="0" fontId="13" fillId="17" borderId="124" xfId="0" applyFont="1" applyFill="1" applyBorder="1" applyAlignment="1">
      <alignment horizontal="center" wrapText="1"/>
    </xf>
    <xf numFmtId="0" fontId="13" fillId="17" borderId="125" xfId="0" applyFont="1" applyFill="1" applyBorder="1" applyAlignment="1">
      <alignment horizontal="center" wrapText="1"/>
    </xf>
    <xf numFmtId="0" fontId="13" fillId="18" borderId="126" xfId="0" applyFont="1" applyFill="1" applyBorder="1" applyAlignment="1">
      <alignment horizontal="center" wrapText="1"/>
    </xf>
    <xf numFmtId="0" fontId="13" fillId="18" borderId="127" xfId="0" applyFont="1" applyFill="1" applyBorder="1" applyAlignment="1">
      <alignment horizontal="center" wrapText="1"/>
    </xf>
    <xf numFmtId="0" fontId="13" fillId="18" borderId="128" xfId="0" applyFont="1" applyFill="1" applyBorder="1" applyAlignment="1">
      <alignment horizontal="center" wrapText="1"/>
    </xf>
    <xf numFmtId="0" fontId="0" fillId="0" borderId="51" xfId="0" applyFill="1" applyBorder="1" applyAlignment="1">
      <alignment wrapText="1"/>
    </xf>
    <xf numFmtId="0" fontId="0" fillId="0" borderId="53" xfId="0" applyBorder="1" applyAlignment="1">
      <alignment/>
    </xf>
    <xf numFmtId="0" fontId="0" fillId="45" borderId="59" xfId="0" applyFill="1" applyBorder="1" applyAlignment="1">
      <alignment wrapText="1"/>
    </xf>
    <xf numFmtId="0" fontId="0" fillId="2" borderId="33" xfId="0" applyFont="1" applyFill="1" applyBorder="1" applyAlignment="1">
      <alignment horizontal="center" wrapText="1"/>
    </xf>
    <xf numFmtId="0" fontId="0" fillId="2" borderId="35" xfId="0" applyFont="1" applyFill="1" applyBorder="1" applyAlignment="1">
      <alignment horizontal="center" wrapText="1"/>
    </xf>
    <xf numFmtId="0" fontId="0" fillId="2" borderId="37" xfId="0" applyFont="1" applyFill="1" applyBorder="1" applyAlignment="1">
      <alignment horizontal="center" wrapText="1"/>
    </xf>
    <xf numFmtId="0" fontId="0" fillId="6" borderId="129" xfId="0" applyFont="1" applyFill="1" applyBorder="1" applyAlignment="1">
      <alignment horizontal="center" wrapText="1"/>
    </xf>
    <xf numFmtId="0" fontId="0" fillId="6" borderId="35" xfId="0" applyFont="1" applyFill="1" applyBorder="1" applyAlignment="1">
      <alignment horizontal="center" wrapText="1"/>
    </xf>
    <xf numFmtId="0" fontId="0" fillId="6" borderId="37" xfId="0" applyFont="1" applyFill="1" applyBorder="1" applyAlignment="1">
      <alignment horizontal="center" wrapText="1"/>
    </xf>
    <xf numFmtId="0" fontId="0" fillId="7" borderId="130" xfId="0" applyFont="1" applyFill="1" applyBorder="1" applyAlignment="1">
      <alignment horizontal="center" wrapText="1"/>
    </xf>
    <xf numFmtId="0" fontId="0" fillId="0" borderId="131" xfId="0" applyBorder="1" applyAlignment="1">
      <alignment/>
    </xf>
    <xf numFmtId="0" fontId="0" fillId="0" borderId="132" xfId="0" applyBorder="1" applyAlignment="1">
      <alignment/>
    </xf>
    <xf numFmtId="0" fontId="14" fillId="46" borderId="78" xfId="0" applyFont="1" applyFill="1" applyBorder="1" applyAlignment="1">
      <alignment horizontal="center"/>
    </xf>
    <xf numFmtId="0" fontId="14" fillId="46" borderId="100" xfId="0" applyFont="1" applyFill="1" applyBorder="1" applyAlignment="1">
      <alignment horizontal="center"/>
    </xf>
    <xf numFmtId="0" fontId="14" fillId="46" borderId="82" xfId="0" applyFont="1" applyFill="1" applyBorder="1" applyAlignment="1">
      <alignment horizontal="center"/>
    </xf>
    <xf numFmtId="0" fontId="33" fillId="21" borderId="133" xfId="0" applyFont="1" applyFill="1" applyBorder="1" applyAlignment="1">
      <alignment horizontal="center" wrapText="1"/>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Followed Hyperlink" xfId="23"/>
    <cellStyle name="Hed Side" xfId="24"/>
    <cellStyle name="Hed Side bold" xfId="25"/>
    <cellStyle name="Hed Side Indent" xfId="26"/>
    <cellStyle name="Hed Side Regular" xfId="27"/>
    <cellStyle name="Hed Side_1-1A-Regular" xfId="28"/>
    <cellStyle name="Hed Top" xfId="29"/>
    <cellStyle name="Hyperlink" xfId="30"/>
    <cellStyle name="Normal_Auto"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3333"/>
      <rgbColor rgb="0023FF23"/>
      <rgbColor rgb="000000FF"/>
      <rgbColor rgb="00FFFF00"/>
      <rgbColor rgb="00FF00FF"/>
      <rgbColor rgb="0000FFFF"/>
      <rgbColor rgb="00800000"/>
      <rgbColor rgb="00008000"/>
      <rgbColor rgb="00000080"/>
      <rgbColor rgb="00808000"/>
      <rgbColor rgb="00800080"/>
      <rgbColor rgb="000099FF"/>
      <rgbColor rgb="00C0C0C0"/>
      <rgbColor rgb="00808080"/>
      <rgbColor rgb="009999FF"/>
      <rgbColor rgb="00944794"/>
      <rgbColor rgb="00FFFFCC"/>
      <rgbColor rgb="00CCFFFF"/>
      <rgbColor rgb="00660066"/>
      <rgbColor rgb="00FF8080"/>
      <rgbColor rgb="000047FF"/>
      <rgbColor rgb="00D9D9D9"/>
      <rgbColor rgb="00000080"/>
      <rgbColor rgb="00FF00FF"/>
      <rgbColor rgb="00FCF305"/>
      <rgbColor rgb="0000FFFF"/>
      <rgbColor rgb="00800080"/>
      <rgbColor rgb="00800000"/>
      <rgbColor rgb="00008080"/>
      <rgbColor rgb="000000FF"/>
      <rgbColor rgb="0000CCCC"/>
      <rgbColor rgb="00E6FF00"/>
      <rgbColor rgb="00CCFFCC"/>
      <rgbColor rgb="00FFFF99"/>
      <rgbColor rgb="0099CCFF"/>
      <rgbColor rgb="00FF99CC"/>
      <rgbColor rgb="00CC99FF"/>
      <rgbColor rgb="00FFCC99"/>
      <rgbColor rgb="003366FF"/>
      <rgbColor rgb="0033CCCC"/>
      <rgbColor rgb="00E6E64C"/>
      <rgbColor rgb="00FFB515"/>
      <rgbColor rgb="00FF6F00"/>
      <rgbColor rgb="00FF6309"/>
      <rgbColor rgb="009966CC"/>
      <rgbColor rgb="00969696"/>
      <rgbColor rgb="00003366"/>
      <rgbColor rgb="0047B8B8"/>
      <rgbColor rgb="00003300"/>
      <rgbColor rgb="00333300"/>
      <rgbColor rgb="00FF6633"/>
      <rgbColor rgb="00EB613D"/>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0"/>
      <c:depthPercent val="100"/>
      <c:rAngAx val="1"/>
    </c:view3D>
    <c:plotArea>
      <c:layout/>
      <c:pie3DChart>
        <c:varyColors val="1"/>
        <c:ser>
          <c:idx val="0"/>
          <c:order val="0"/>
          <c:spPr>
            <a:solidFill>
              <a:srgbClr val="99CCFF"/>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12700">
                <a:solidFill/>
              </a:ln>
            </c:spPr>
          </c:dPt>
          <c:dPt>
            <c:idx val="1"/>
            <c:spPr>
              <a:solidFill>
                <a:srgbClr val="944794"/>
              </a:solidFill>
              <a:ln w="12700">
                <a:solidFill/>
              </a:ln>
            </c:spPr>
          </c:dPt>
          <c:dPt>
            <c:idx val="2"/>
            <c:spPr>
              <a:solidFill>
                <a:srgbClr val="FFFFCC"/>
              </a:solidFill>
              <a:ln w="12700">
                <a:solidFill/>
              </a:ln>
            </c:spPr>
          </c:dPt>
          <c:dPt>
            <c:idx val="3"/>
            <c:spPr>
              <a:solidFill>
                <a:srgbClr val="CCFFFF"/>
              </a:solidFill>
              <a:ln w="12700">
                <a:solidFill/>
              </a:ln>
            </c:spPr>
          </c:dPt>
          <c:dPt>
            <c:idx val="4"/>
            <c:spPr>
              <a:solidFill>
                <a:srgbClr val="660066"/>
              </a:solidFill>
              <a:ln w="12700">
                <a:solidFill/>
              </a:ln>
            </c:spPr>
          </c:dPt>
          <c:dPt>
            <c:idx val="5"/>
            <c:spPr>
              <a:solidFill>
                <a:srgbClr val="FF8080"/>
              </a:solidFill>
              <a:ln w="12700">
                <a:solidFill/>
              </a:ln>
            </c:spPr>
          </c:dPt>
          <c:dPt>
            <c:idx val="6"/>
            <c:spPr>
              <a:solidFill>
                <a:srgbClr val="0047FF"/>
              </a:solidFill>
              <a:ln w="127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elete val="1"/>
          </c:dLbls>
          <c:val>
            <c:numLit>
              <c:ptCount val="7"/>
              <c:pt idx="0">
                <c:v>0</c:v>
              </c:pt>
              <c:pt idx="1">
                <c:v>0</c:v>
              </c:pt>
              <c:pt idx="2">
                <c:v>0</c:v>
              </c:pt>
              <c:pt idx="3">
                <c:v>0</c:v>
              </c:pt>
              <c:pt idx="4">
                <c:v>0</c:v>
              </c:pt>
              <c:pt idx="5">
                <c:v>0</c:v>
              </c:pt>
              <c:pt idx="6">
                <c:v>0</c:v>
              </c:pt>
            </c:numLit>
          </c:val>
        </c:ser>
      </c:pie3DChart>
      <c:spPr>
        <a:noFill/>
        <a:ln>
          <a:noFill/>
        </a:ln>
      </c:spPr>
    </c:plotArea>
    <c:sideWall>
      <c:thickness val="0"/>
    </c:sideWall>
    <c:backWall>
      <c:thickness val="0"/>
    </c:backWall>
    <c:plotVisOnly val="0"/>
    <c:dispBlanksAs val="gap"/>
    <c:showDLblsOverMax val="0"/>
  </c:chart>
  <c:spPr>
    <a:solidFill>
      <a:srgbClr val="FFFFFF"/>
    </a:solidFill>
    <a:ln w="12700">
      <a:solid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0"/>
      <c:depthPercent val="100"/>
      <c:rAngAx val="1"/>
    </c:view3D>
    <c:plotArea>
      <c:layout/>
      <c:pie3DChart>
        <c:varyColors val="1"/>
        <c:ser>
          <c:idx val="0"/>
          <c:order val="0"/>
          <c:spPr>
            <a:solidFill>
              <a:srgbClr val="99CCFF"/>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12700">
                <a:solidFill/>
              </a:ln>
            </c:spPr>
          </c:dPt>
          <c:dPt>
            <c:idx val="1"/>
            <c:spPr>
              <a:solidFill>
                <a:srgbClr val="944794"/>
              </a:solidFill>
              <a:ln w="12700">
                <a:solidFill/>
              </a:ln>
            </c:spPr>
          </c:dPt>
          <c:dPt>
            <c:idx val="2"/>
            <c:spPr>
              <a:solidFill>
                <a:srgbClr val="FFFFCC"/>
              </a:solidFill>
              <a:ln w="12700">
                <a:solidFill/>
              </a:ln>
            </c:spPr>
          </c:dPt>
          <c:dPt>
            <c:idx val="3"/>
            <c:spPr>
              <a:solidFill>
                <a:srgbClr val="CCFFFF"/>
              </a:solidFill>
              <a:ln w="12700">
                <a:solidFill/>
              </a:ln>
            </c:spPr>
          </c:dPt>
          <c:dPt>
            <c:idx val="4"/>
            <c:spPr>
              <a:solidFill>
                <a:srgbClr val="660066"/>
              </a:solidFill>
              <a:ln w="12700">
                <a:solidFill/>
              </a:ln>
            </c:spPr>
          </c:dPt>
          <c:dLbls>
            <c:dLbl>
              <c:idx val="0"/>
              <c:txPr>
                <a:bodyPr vert="horz" rot="0" anchor="ctr"/>
                <a:lstStyle/>
                <a:p>
                  <a:pPr algn="ctr">
                    <a:defRPr lang="en-US" cap="none" sz="58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58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2"/>
              <c:txPr>
                <a:bodyPr vert="horz" rot="0" anchor="ctr"/>
                <a:lstStyle/>
                <a:p>
                  <a:pPr algn="ctr">
                    <a:defRPr lang="en-US" cap="none" sz="58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3"/>
              <c:txPr>
                <a:bodyPr vert="horz" rot="0" anchor="ctr"/>
                <a:lstStyle/>
                <a:p>
                  <a:pPr algn="ctr">
                    <a:defRPr lang="en-US" cap="none" sz="58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4"/>
              <c:txPr>
                <a:bodyPr vert="horz" rot="0" anchor="ctr"/>
                <a:lstStyle/>
                <a:p>
                  <a:pPr algn="ctr">
                    <a:defRPr lang="en-US" cap="none" sz="58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elete val="1"/>
          </c:dLbls>
          <c:val>
            <c:numLit>
              <c:ptCount val="5"/>
              <c:pt idx="0">
                <c:v>0</c:v>
              </c:pt>
              <c:pt idx="1">
                <c:v>0</c:v>
              </c:pt>
              <c:pt idx="2">
                <c:v>0</c:v>
              </c:pt>
              <c:pt idx="3">
                <c:v>0</c:v>
              </c:pt>
              <c:pt idx="4">
                <c:v>0</c:v>
              </c:pt>
            </c:numLit>
          </c:val>
        </c:ser>
      </c:pie3DChart>
      <c:spPr>
        <a:noFill/>
        <a:ln>
          <a:noFill/>
        </a:ln>
      </c:spPr>
    </c:plotArea>
    <c:sideWall>
      <c:thickness val="0"/>
    </c:sideWall>
    <c:backWall>
      <c:thickness val="0"/>
    </c:backWall>
    <c:plotVisOnly val="0"/>
    <c:dispBlanksAs val="gap"/>
    <c:showDLblsOverMax val="0"/>
  </c:chart>
  <c:spPr>
    <a:solidFill>
      <a:srgbClr val="FFFFFF"/>
    </a:solidFill>
    <a:ln w="127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DSL Penetration</a:t>
            </a:r>
          </a:p>
        </c:rich>
      </c:tx>
      <c:layout/>
      <c:spPr>
        <a:noFill/>
        <a:ln>
          <a:noFill/>
        </a:ln>
      </c:spPr>
    </c:title>
    <c:plotArea>
      <c:layout>
        <c:manualLayout>
          <c:xMode val="edge"/>
          <c:yMode val="edge"/>
          <c:x val="0.011"/>
          <c:y val="0.12"/>
          <c:w val="0.74325"/>
          <c:h val="0.85925"/>
        </c:manualLayout>
      </c:layout>
      <c:scatterChart>
        <c:scatterStyle val="lineMarker"/>
        <c:varyColors val="0"/>
        <c:ser>
          <c:idx val="0"/>
          <c:order val="0"/>
          <c:tx>
            <c:v>% Dsl on Road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66CC"/>
              </a:solidFill>
              <a:ln>
                <a:solidFill>
                  <a:srgbClr val="9966CC"/>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'[1]Results'!$C$106:$C$136</c:f>
              <c:numCache>
                <c:ptCount val="31"/>
                <c:pt idx="0">
                  <c:v>0.012689696099317298</c:v>
                </c:pt>
                <c:pt idx="1">
                  <c:v>0.01268158948217198</c:v>
                </c:pt>
                <c:pt idx="2">
                  <c:v>0.013277326395965152</c:v>
                </c:pt>
                <c:pt idx="3">
                  <c:v>0.01424833968378579</c:v>
                </c:pt>
                <c:pt idx="4">
                  <c:v>0.015052364425623955</c:v>
                </c:pt>
                <c:pt idx="5">
                  <c:v>0.016040252192359796</c:v>
                </c:pt>
                <c:pt idx="6">
                  <c:v>0.01649217062654206</c:v>
                </c:pt>
                <c:pt idx="7">
                  <c:v>0.01616600594718469</c:v>
                </c:pt>
                <c:pt idx="8">
                  <c:v>0.015007527851675351</c:v>
                </c:pt>
                <c:pt idx="9">
                  <c:v>0.013995767842843667</c:v>
                </c:pt>
                <c:pt idx="10">
                  <c:v>0.01318490308917181</c:v>
                </c:pt>
                <c:pt idx="11">
                  <c:v>0.012589297056021218</c:v>
                </c:pt>
                <c:pt idx="12">
                  <c:v>0.012262482526683346</c:v>
                </c:pt>
                <c:pt idx="13">
                  <c:v>0.0121749449096805</c:v>
                </c:pt>
                <c:pt idx="14">
                  <c:v>0.012583385468329178</c:v>
                </c:pt>
                <c:pt idx="15">
                  <c:v>0.0133972678542937</c:v>
                </c:pt>
                <c:pt idx="16">
                  <c:v>0.014692346737881463</c:v>
                </c:pt>
                <c:pt idx="17">
                  <c:v>0.016493619206320666</c:v>
                </c:pt>
                <c:pt idx="18">
                  <c:v>0.018824724612744474</c:v>
                </c:pt>
                <c:pt idx="19">
                  <c:v>0.021674440832734603</c:v>
                </c:pt>
                <c:pt idx="20">
                  <c:v>0.025017754006090184</c:v>
                </c:pt>
                <c:pt idx="21">
                  <c:v>0.0288841226999877</c:v>
                </c:pt>
                <c:pt idx="22">
                  <c:v>0.0332287602496813</c:v>
                </c:pt>
                <c:pt idx="23">
                  <c:v>0.037851232424398175</c:v>
                </c:pt>
                <c:pt idx="24">
                  <c:v>0.04264468256724198</c:v>
                </c:pt>
                <c:pt idx="25">
                  <c:v>0.04751511220064302</c:v>
                </c:pt>
                <c:pt idx="26">
                  <c:v>0.052388260624917554</c:v>
                </c:pt>
                <c:pt idx="27">
                  <c:v>0.05722142818948718</c:v>
                </c:pt>
                <c:pt idx="28">
                  <c:v>0.06186009513628233</c:v>
                </c:pt>
                <c:pt idx="29">
                  <c:v>0.06637278628794915</c:v>
                </c:pt>
                <c:pt idx="30">
                  <c:v>0.07062467924281653</c:v>
                </c:pt>
              </c:numCache>
            </c:numRef>
          </c:yVal>
          <c:smooth val="0"/>
        </c:ser>
        <c:ser>
          <c:idx val="1"/>
          <c:order val="1"/>
          <c:tx>
            <c:v>% Dsl Sold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44794"/>
              </a:solidFill>
              <a:ln>
                <a:solidFill>
                  <a:srgbClr val="944794"/>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'[1]Results'!$F$106:$F$136</c:f>
              <c:numCache>
                <c:ptCount val="31"/>
                <c:pt idx="0">
                  <c:v>0.017972307738486595</c:v>
                </c:pt>
                <c:pt idx="1">
                  <c:v>0.011330063681867439</c:v>
                </c:pt>
                <c:pt idx="2">
                  <c:v>0.012650839629830555</c:v>
                </c:pt>
                <c:pt idx="3">
                  <c:v>0.013139313722284643</c:v>
                </c:pt>
                <c:pt idx="4">
                  <c:v>0.01239750744972129</c:v>
                </c:pt>
                <c:pt idx="5">
                  <c:v>0.011696014648851746</c:v>
                </c:pt>
                <c:pt idx="6">
                  <c:v>0.01080507888265026</c:v>
                </c:pt>
                <c:pt idx="7">
                  <c:v>0.010873181131513471</c:v>
                </c:pt>
                <c:pt idx="8">
                  <c:v>0.0042409266950436415</c:v>
                </c:pt>
                <c:pt idx="9">
                  <c:v>0.0056409559465760446</c:v>
                </c:pt>
                <c:pt idx="10">
                  <c:v>0.0074671274606499935</c:v>
                </c:pt>
                <c:pt idx="11">
                  <c:v>0.00982294908849134</c:v>
                </c:pt>
                <c:pt idx="12">
                  <c:v>0.012819049100814106</c:v>
                </c:pt>
                <c:pt idx="13">
                  <c:v>0.01656116186764792</c:v>
                </c:pt>
                <c:pt idx="14">
                  <c:v>0.021130891892954484</c:v>
                </c:pt>
                <c:pt idx="15">
                  <c:v>0.026560172494455154</c:v>
                </c:pt>
                <c:pt idx="16">
                  <c:v>0.03280421347229985</c:v>
                </c:pt>
                <c:pt idx="17">
                  <c:v>0.039722201747009495</c:v>
                </c:pt>
                <c:pt idx="18">
                  <c:v>0.04707699724755193</c:v>
                </c:pt>
                <c:pt idx="19">
                  <c:v>0.05456094662024978</c:v>
                </c:pt>
                <c:pt idx="20">
                  <c:v>0.061844338751838875</c:v>
                </c:pt>
                <c:pt idx="21">
                  <c:v>0.06863147875636451</c:v>
                </c:pt>
                <c:pt idx="22">
                  <c:v>0.07470511611997963</c:v>
                </c:pt>
                <c:pt idx="23">
                  <c:v>0.07994637916162559</c:v>
                </c:pt>
                <c:pt idx="24">
                  <c:v>0.08432942918227417</c:v>
                </c:pt>
                <c:pt idx="25">
                  <c:v>0.08789949020662899</c:v>
                </c:pt>
                <c:pt idx="26">
                  <c:v>0.09074547863665595</c:v>
                </c:pt>
                <c:pt idx="27">
                  <c:v>0.09297559432301117</c:v>
                </c:pt>
                <c:pt idx="28">
                  <c:v>0.09469969504096173</c:v>
                </c:pt>
                <c:pt idx="29">
                  <c:v>0.09601874532485496</c:v>
                </c:pt>
                <c:pt idx="30">
                  <c:v>0.09701986289434344</c:v>
                </c:pt>
              </c:numCache>
            </c:numRef>
          </c:yVal>
          <c:smooth val="0"/>
        </c:ser>
        <c:ser>
          <c:idx val="2"/>
          <c:order val="2"/>
          <c:tx>
            <c:v>Dsl % VMT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E6E64C"/>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'[1]Results'!$I$106:$I$136</c:f>
              <c:numCache>
                <c:ptCount val="31"/>
                <c:pt idx="0">
                  <c:v>0.012411494156165496</c:v>
                </c:pt>
                <c:pt idx="1">
                  <c:v>0.012479569910690944</c:v>
                </c:pt>
                <c:pt idx="2">
                  <c:v>0.013064098478169832</c:v>
                </c:pt>
                <c:pt idx="3">
                  <c:v>0.013897478633221714</c:v>
                </c:pt>
                <c:pt idx="4">
                  <c:v>0.01432268763273844</c:v>
                </c:pt>
                <c:pt idx="5">
                  <c:v>0.01494859774446706</c:v>
                </c:pt>
                <c:pt idx="6">
                  <c:v>0.01861876324974218</c:v>
                </c:pt>
                <c:pt idx="7">
                  <c:v>0.014046100577341002</c:v>
                </c:pt>
                <c:pt idx="8">
                  <c:v>0.01282846297328953</c:v>
                </c:pt>
                <c:pt idx="9">
                  <c:v>0.01178102741474389</c:v>
                </c:pt>
                <c:pt idx="10">
                  <c:v>0.010955633884359597</c:v>
                </c:pt>
                <c:pt idx="11">
                  <c:v>0.01038104265022827</c:v>
                </c:pt>
                <c:pt idx="12">
                  <c:v>0.010095524479867269</c:v>
                </c:pt>
                <c:pt idx="13">
                  <c:v>0.010106451127235174</c:v>
                </c:pt>
                <c:pt idx="14">
                  <c:v>0.010600144315241835</c:v>
                </c:pt>
                <c:pt idx="15">
                  <c:v>0.011531421896378603</c:v>
                </c:pt>
                <c:pt idx="16">
                  <c:v>0.012960573444255916</c:v>
                </c:pt>
                <c:pt idx="17">
                  <c:v>0.014946503067268992</c:v>
                </c:pt>
                <c:pt idx="18">
                  <c:v>0.017500341484648074</c:v>
                </c:pt>
                <c:pt idx="19">
                  <c:v>0.02062050446624433</c:v>
                </c:pt>
                <c:pt idx="20">
                  <c:v>0.024272701508822735</c:v>
                </c:pt>
                <c:pt idx="21">
                  <c:v>0.028530373690829523</c:v>
                </c:pt>
                <c:pt idx="22">
                  <c:v>0.03320524419189569</c:v>
                </c:pt>
                <c:pt idx="23">
                  <c:v>0.038152127282460424</c:v>
                </c:pt>
                <c:pt idx="24">
                  <c:v>0.04324692411265202</c:v>
                </c:pt>
                <c:pt idx="25">
                  <c:v>0.04837007309223034</c:v>
                </c:pt>
                <c:pt idx="26">
                  <c:v>0.05340619663836421</c:v>
                </c:pt>
                <c:pt idx="27">
                  <c:v>0.058250832843868186</c:v>
                </c:pt>
                <c:pt idx="28">
                  <c:v>0.06281804946897598</c:v>
                </c:pt>
                <c:pt idx="29">
                  <c:v>0.0670149883590224</c:v>
                </c:pt>
                <c:pt idx="30">
                  <c:v>0.07079955680501775</c:v>
                </c:pt>
              </c:numCache>
            </c:numRef>
          </c:yVal>
          <c:smooth val="0"/>
        </c:ser>
        <c:axId val="3864574"/>
        <c:axId val="14047191"/>
      </c:scatterChart>
      <c:valAx>
        <c:axId val="3864574"/>
        <c:scaling>
          <c:orientation val="minMax"/>
          <c:max val="2030"/>
          <c:min val="2000"/>
        </c:scaling>
        <c:axPos val="b"/>
        <c:delete val="0"/>
        <c:numFmt formatCode="General" sourceLinked="1"/>
        <c:majorTickMark val="out"/>
        <c:minorTickMark val="none"/>
        <c:tickLblPos val="nextTo"/>
        <c:spPr>
          <a:ln w="3175">
            <a:solidFill>
              <a:srgbClr val="808080"/>
            </a:solidFill>
          </a:ln>
        </c:spPr>
        <c:crossAx val="14047191"/>
        <c:crosses val="autoZero"/>
        <c:crossBetween val="midCat"/>
        <c:dispUnits/>
      </c:valAx>
      <c:valAx>
        <c:axId val="140471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4574"/>
        <c:crosses val="autoZero"/>
        <c:crossBetween val="midCat"/>
        <c:dispUnits/>
      </c:valAx>
      <c:spPr>
        <a:solidFill>
          <a:srgbClr val="FFFFFF"/>
        </a:solidFill>
        <a:ln w="3175">
          <a:noFill/>
        </a:ln>
      </c:spPr>
    </c:plotArea>
    <c:legend>
      <c:legendPos val="r"/>
      <c:layout>
        <c:manualLayout>
          <c:xMode val="edge"/>
          <c:yMode val="edge"/>
          <c:x val="0.83475"/>
          <c:y val="0.42475"/>
          <c:w val="0.15"/>
          <c:h val="0.1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PHEV Penetration</a:t>
            </a:r>
          </a:p>
        </c:rich>
      </c:tx>
      <c:layout/>
      <c:spPr>
        <a:noFill/>
        <a:ln>
          <a:noFill/>
        </a:ln>
      </c:spPr>
    </c:title>
    <c:plotArea>
      <c:layout>
        <c:manualLayout>
          <c:xMode val="edge"/>
          <c:yMode val="edge"/>
          <c:x val="0.01"/>
          <c:y val="0.1255"/>
          <c:w val="0.69025"/>
          <c:h val="0.8525"/>
        </c:manualLayout>
      </c:layout>
      <c:scatterChart>
        <c:scatterStyle val="lineMarker"/>
        <c:varyColors val="0"/>
        <c:ser>
          <c:idx val="0"/>
          <c:order val="0"/>
          <c:tx>
            <c:v>% SI PHEV on Road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66CC"/>
              </a:solidFill>
              <a:ln>
                <a:solidFill>
                  <a:srgbClr val="9966CC"/>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'[1]Results'!$C$208:$C$238</c:f>
              <c:numCache>
                <c:ptCount val="31"/>
                <c:pt idx="0">
                  <c:v>0</c:v>
                </c:pt>
                <c:pt idx="1">
                  <c:v>0</c:v>
                </c:pt>
                <c:pt idx="2">
                  <c:v>0</c:v>
                </c:pt>
                <c:pt idx="3">
                  <c:v>0</c:v>
                </c:pt>
                <c:pt idx="4">
                  <c:v>0</c:v>
                </c:pt>
                <c:pt idx="5">
                  <c:v>0</c:v>
                </c:pt>
                <c:pt idx="6">
                  <c:v>0</c:v>
                </c:pt>
                <c:pt idx="7">
                  <c:v>0</c:v>
                </c:pt>
                <c:pt idx="8">
                  <c:v>0</c:v>
                </c:pt>
                <c:pt idx="9">
                  <c:v>0</c:v>
                </c:pt>
                <c:pt idx="10">
                  <c:v>0.000378905099146101</c:v>
                </c:pt>
                <c:pt idx="11">
                  <c:v>0.0010953882616541962</c:v>
                </c:pt>
                <c:pt idx="12">
                  <c:v>0.002419019287035605</c:v>
                </c:pt>
                <c:pt idx="13">
                  <c:v>0.004716616239142645</c:v>
                </c:pt>
                <c:pt idx="14">
                  <c:v>0.00850097334507861</c:v>
                </c:pt>
                <c:pt idx="15">
                  <c:v>0.014005023026074951</c:v>
                </c:pt>
                <c:pt idx="16">
                  <c:v>0.021137020478067894</c:v>
                </c:pt>
                <c:pt idx="17">
                  <c:v>0.02945878371292302</c:v>
                </c:pt>
                <c:pt idx="18">
                  <c:v>0.038489479172603945</c:v>
                </c:pt>
                <c:pt idx="19">
                  <c:v>0.04783411833436826</c:v>
                </c:pt>
                <c:pt idx="20">
                  <c:v>0.0572489884003237</c:v>
                </c:pt>
                <c:pt idx="21">
                  <c:v>0.06681494838782621</c:v>
                </c:pt>
                <c:pt idx="22">
                  <c:v>0.07622151073441401</c:v>
                </c:pt>
                <c:pt idx="23">
                  <c:v>0.08533749819622102</c:v>
                </c:pt>
                <c:pt idx="24">
                  <c:v>0.09398529707187665</c:v>
                </c:pt>
                <c:pt idx="25">
                  <c:v>0.10209977944850554</c:v>
                </c:pt>
                <c:pt idx="26">
                  <c:v>0.1096272268706177</c:v>
                </c:pt>
                <c:pt idx="27">
                  <c:v>0.11655468659555021</c:v>
                </c:pt>
                <c:pt idx="28">
                  <c:v>0.12281464814121765</c:v>
                </c:pt>
                <c:pt idx="29">
                  <c:v>0.12829614808974485</c:v>
                </c:pt>
                <c:pt idx="30">
                  <c:v>0.13307889098011694</c:v>
                </c:pt>
              </c:numCache>
            </c:numRef>
          </c:yVal>
          <c:smooth val="0"/>
        </c:ser>
        <c:ser>
          <c:idx val="1"/>
          <c:order val="1"/>
          <c:tx>
            <c:v>% SI PHEV Sold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44794"/>
              </a:solidFill>
              <a:ln>
                <a:solidFill>
                  <a:srgbClr val="944794"/>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'[1]Results'!$F$208:$F$238</c:f>
              <c:numCache>
                <c:ptCount val="31"/>
                <c:pt idx="0">
                  <c:v>0</c:v>
                </c:pt>
                <c:pt idx="1">
                  <c:v>0</c:v>
                </c:pt>
                <c:pt idx="2">
                  <c:v>0</c:v>
                </c:pt>
                <c:pt idx="3">
                  <c:v>0</c:v>
                </c:pt>
                <c:pt idx="4">
                  <c:v>0</c:v>
                </c:pt>
                <c:pt idx="5">
                  <c:v>0</c:v>
                </c:pt>
                <c:pt idx="6">
                  <c:v>0</c:v>
                </c:pt>
                <c:pt idx="7">
                  <c:v>0</c:v>
                </c:pt>
                <c:pt idx="8">
                  <c:v>0</c:v>
                </c:pt>
                <c:pt idx="9">
                  <c:v>0</c:v>
                </c:pt>
                <c:pt idx="10">
                  <c:v>0.004999999999999999</c:v>
                </c:pt>
                <c:pt idx="11">
                  <c:v>0.009739643859603344</c:v>
                </c:pt>
                <c:pt idx="12">
                  <c:v>0.018401945704059376</c:v>
                </c:pt>
                <c:pt idx="13">
                  <c:v>0.032958076922285764</c:v>
                </c:pt>
                <c:pt idx="14">
                  <c:v>0.054279154772380926</c:v>
                </c:pt>
                <c:pt idx="15">
                  <c:v>0.0799691161726906</c:v>
                </c:pt>
                <c:pt idx="16">
                  <c:v>0.10453896128445447</c:v>
                </c:pt>
                <c:pt idx="17">
                  <c:v>0.12336024331471791</c:v>
                </c:pt>
                <c:pt idx="18">
                  <c:v>0.13547222325047317</c:v>
                </c:pt>
                <c:pt idx="19">
                  <c:v>0.14241594659151816</c:v>
                </c:pt>
                <c:pt idx="20">
                  <c:v>0.1461355082982157</c:v>
                </c:pt>
                <c:pt idx="21">
                  <c:v>0.14805573383498075</c:v>
                </c:pt>
                <c:pt idx="22">
                  <c:v>0.14902816462640212</c:v>
                </c:pt>
                <c:pt idx="23">
                  <c:v>0.14951582165190214</c:v>
                </c:pt>
                <c:pt idx="24">
                  <c:v>0.14975917281579396</c:v>
                </c:pt>
                <c:pt idx="25">
                  <c:v>0.14988031202300414</c:v>
                </c:pt>
                <c:pt idx="26">
                  <c:v>0.14994054082575006</c:v>
                </c:pt>
                <c:pt idx="27">
                  <c:v>0.1499704675546684</c:v>
                </c:pt>
                <c:pt idx="28">
                  <c:v>0.14998533316797813</c:v>
                </c:pt>
                <c:pt idx="29">
                  <c:v>0.14999271630823724</c:v>
                </c:pt>
                <c:pt idx="30">
                  <c:v>0.14999638293729495</c:v>
                </c:pt>
              </c:numCache>
            </c:numRef>
          </c:yVal>
          <c:smooth val="0"/>
        </c:ser>
        <c:ser>
          <c:idx val="2"/>
          <c:order val="2"/>
          <c:tx>
            <c:v>SI PHEV % VMT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E6E64C"/>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'[1]Results'!$I$208:$I$238</c:f>
              <c:numCache>
                <c:ptCount val="31"/>
                <c:pt idx="0">
                  <c:v>0</c:v>
                </c:pt>
                <c:pt idx="1">
                  <c:v>0</c:v>
                </c:pt>
                <c:pt idx="2">
                  <c:v>0</c:v>
                </c:pt>
                <c:pt idx="3">
                  <c:v>0</c:v>
                </c:pt>
                <c:pt idx="4">
                  <c:v>0</c:v>
                </c:pt>
                <c:pt idx="5">
                  <c:v>0</c:v>
                </c:pt>
                <c:pt idx="6">
                  <c:v>0</c:v>
                </c:pt>
                <c:pt idx="7">
                  <c:v>0</c:v>
                </c:pt>
                <c:pt idx="8">
                  <c:v>0</c:v>
                </c:pt>
                <c:pt idx="9">
                  <c:v>0</c:v>
                </c:pt>
                <c:pt idx="10">
                  <c:v>0.00035068274979859463</c:v>
                </c:pt>
                <c:pt idx="11">
                  <c:v>0.0010433440148710149</c:v>
                </c:pt>
                <c:pt idx="12">
                  <c:v>0.0023228555796315515</c:v>
                </c:pt>
                <c:pt idx="13">
                  <c:v>0.004564212175047246</c:v>
                </c:pt>
                <c:pt idx="14">
                  <c:v>0.008286814176749879</c:v>
                </c:pt>
                <c:pt idx="15">
                  <c:v>0.013780938174777501</c:v>
                </c:pt>
                <c:pt idx="16">
                  <c:v>0.020997901735588097</c:v>
                </c:pt>
                <c:pt idx="17">
                  <c:v>0.029578125725415565</c:v>
                </c:pt>
                <c:pt idx="18">
                  <c:v>0.03900867526315041</c:v>
                </c:pt>
                <c:pt idx="19">
                  <c:v>0.04886529231089709</c:v>
                </c:pt>
                <c:pt idx="20">
                  <c:v>0.0588324496254348</c:v>
                </c:pt>
                <c:pt idx="21">
                  <c:v>0.06896947986123894</c:v>
                </c:pt>
                <c:pt idx="22">
                  <c:v>0.07882153756926337</c:v>
                </c:pt>
                <c:pt idx="23">
                  <c:v>0.08819828246990212</c:v>
                </c:pt>
                <c:pt idx="24">
                  <c:v>0.09693511726709661</c:v>
                </c:pt>
                <c:pt idx="25">
                  <c:v>0.10491808684186955</c:v>
                </c:pt>
                <c:pt idx="26">
                  <c:v>0.11203878733853945</c:v>
                </c:pt>
                <c:pt idx="27">
                  <c:v>0.11821602286896118</c:v>
                </c:pt>
                <c:pt idx="28">
                  <c:v>0.12344236141431404</c:v>
                </c:pt>
                <c:pt idx="29">
                  <c:v>0.12761244343878758</c:v>
                </c:pt>
                <c:pt idx="30">
                  <c:v>0.1308482305711896</c:v>
                </c:pt>
              </c:numCache>
            </c:numRef>
          </c:yVal>
          <c:smooth val="0"/>
        </c:ser>
        <c:axId val="26555556"/>
        <c:axId val="20795765"/>
      </c:scatterChart>
      <c:valAx>
        <c:axId val="26555556"/>
        <c:scaling>
          <c:orientation val="minMax"/>
          <c:max val="2030"/>
          <c:min val="2000"/>
        </c:scaling>
        <c:axPos val="b"/>
        <c:delete val="0"/>
        <c:numFmt formatCode="General" sourceLinked="1"/>
        <c:majorTickMark val="out"/>
        <c:minorTickMark val="none"/>
        <c:tickLblPos val="nextTo"/>
        <c:spPr>
          <a:ln w="3175">
            <a:solidFill>
              <a:srgbClr val="808080"/>
            </a:solidFill>
          </a:ln>
        </c:spPr>
        <c:crossAx val="20795765"/>
        <c:crosses val="autoZero"/>
        <c:crossBetween val="midCat"/>
        <c:dispUnits/>
      </c:valAx>
      <c:valAx>
        <c:axId val="207957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55556"/>
        <c:crosses val="autoZero"/>
        <c:crossBetween val="midCat"/>
        <c:dispUnits/>
      </c:valAx>
      <c:spPr>
        <a:solidFill>
          <a:srgbClr val="FFFFFF"/>
        </a:solidFill>
        <a:ln w="3175">
          <a:noFill/>
        </a:ln>
      </c:spPr>
    </c:plotArea>
    <c:legend>
      <c:legendPos val="r"/>
      <c:layout>
        <c:manualLayout>
          <c:xMode val="edge"/>
          <c:yMode val="edge"/>
          <c:x val="0.79725"/>
          <c:y val="0.429"/>
          <c:w val="0.176"/>
          <c:h val="0.1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Fuel Cell Penetration</a:t>
            </a:r>
          </a:p>
        </c:rich>
      </c:tx>
      <c:layout/>
      <c:spPr>
        <a:noFill/>
        <a:ln>
          <a:noFill/>
        </a:ln>
      </c:spPr>
    </c:title>
    <c:plotArea>
      <c:layout>
        <c:manualLayout>
          <c:xMode val="edge"/>
          <c:yMode val="edge"/>
          <c:x val="0.01325"/>
          <c:y val="0.15325"/>
          <c:w val="0.73075"/>
          <c:h val="0.817"/>
        </c:manualLayout>
      </c:layout>
      <c:scatterChart>
        <c:scatterStyle val="lineMarker"/>
        <c:varyColors val="0"/>
        <c:ser>
          <c:idx val="0"/>
          <c:order val="0"/>
          <c:tx>
            <c:v>% FCV on Road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66CC"/>
              </a:solidFill>
              <a:ln>
                <a:solidFill>
                  <a:srgbClr val="9966CC"/>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'[1]Results'!$C$242:$C$272</c:f>
              <c:numCache>
                <c:ptCount val="31"/>
                <c:pt idx="0">
                  <c:v>0</c:v>
                </c:pt>
                <c:pt idx="1">
                  <c:v>0</c:v>
                </c:pt>
                <c:pt idx="2">
                  <c:v>0</c:v>
                </c:pt>
                <c:pt idx="3">
                  <c:v>0</c:v>
                </c:pt>
                <c:pt idx="4">
                  <c:v>0</c:v>
                </c:pt>
                <c:pt idx="5">
                  <c:v>0</c:v>
                </c:pt>
                <c:pt idx="6">
                  <c:v>0</c:v>
                </c:pt>
                <c:pt idx="7">
                  <c:v>0</c:v>
                </c:pt>
                <c:pt idx="8">
                  <c:v>0</c:v>
                </c:pt>
                <c:pt idx="9">
                  <c:v>0</c:v>
                </c:pt>
                <c:pt idx="10">
                  <c:v>7.578101982922021E-05</c:v>
                </c:pt>
                <c:pt idx="11">
                  <c:v>0.0001496637024147092</c:v>
                </c:pt>
                <c:pt idx="12">
                  <c:v>0.00022182263608139393</c:v>
                </c:pt>
                <c:pt idx="13">
                  <c:v>0.00029069471283883866</c:v>
                </c:pt>
                <c:pt idx="14">
                  <c:v>0.00036139843749422306</c:v>
                </c:pt>
                <c:pt idx="15">
                  <c:v>0.0004313272221816392</c:v>
                </c:pt>
                <c:pt idx="16">
                  <c:v>0.0005013514356792889</c:v>
                </c:pt>
                <c:pt idx="17">
                  <c:v>0.0005709403889192134</c:v>
                </c:pt>
                <c:pt idx="18">
                  <c:v>0.0006398557862405078</c:v>
                </c:pt>
                <c:pt idx="19">
                  <c:v>0.0007072931599990508</c:v>
                </c:pt>
                <c:pt idx="20">
                  <c:v>0.0007728702734890823</c:v>
                </c:pt>
                <c:pt idx="21">
                  <c:v>0.0008364702713846702</c:v>
                </c:pt>
                <c:pt idx="22">
                  <c:v>0.0008975209291171741</c:v>
                </c:pt>
                <c:pt idx="23">
                  <c:v>0.0009549362425880164</c:v>
                </c:pt>
                <c:pt idx="24">
                  <c:v>0.0010073277009346982</c:v>
                </c:pt>
                <c:pt idx="25">
                  <c:v>0.0010547847916565706</c:v>
                </c:pt>
                <c:pt idx="26">
                  <c:v>0.0010976238877902042</c:v>
                </c:pt>
                <c:pt idx="27">
                  <c:v>0.0011366262497552887</c:v>
                </c:pt>
                <c:pt idx="28">
                  <c:v>0.0011720195740540064</c:v>
                </c:pt>
                <c:pt idx="29">
                  <c:v>0.001203565366657032</c:v>
                </c:pt>
                <c:pt idx="30">
                  <c:v>0.0012415603386052745</c:v>
                </c:pt>
              </c:numCache>
            </c:numRef>
          </c:yVal>
          <c:smooth val="0"/>
        </c:ser>
        <c:ser>
          <c:idx val="1"/>
          <c:order val="1"/>
          <c:tx>
            <c:v>% FCV Sold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44794"/>
              </a:solidFill>
              <a:ln>
                <a:solidFill>
                  <a:srgbClr val="944794"/>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'[1]Results'!$F$242:$F$272</c:f>
              <c:numCache>
                <c:ptCount val="31"/>
                <c:pt idx="0">
                  <c:v>0</c:v>
                </c:pt>
                <c:pt idx="1">
                  <c:v>0</c:v>
                </c:pt>
                <c:pt idx="2">
                  <c:v>0</c:v>
                </c:pt>
                <c:pt idx="3">
                  <c:v>0</c:v>
                </c:pt>
                <c:pt idx="4">
                  <c:v>0</c:v>
                </c:pt>
                <c:pt idx="5">
                  <c:v>0</c:v>
                </c:pt>
                <c:pt idx="6">
                  <c:v>0</c:v>
                </c:pt>
                <c:pt idx="7">
                  <c:v>0</c:v>
                </c:pt>
                <c:pt idx="8">
                  <c:v>0</c:v>
                </c:pt>
                <c:pt idx="9">
                  <c:v>0</c:v>
                </c:pt>
                <c:pt idx="10">
                  <c:v>0.001</c:v>
                </c:pt>
                <c:pt idx="11">
                  <c:v>0.0010172656073935442</c:v>
                </c:pt>
                <c:pt idx="12">
                  <c:v>0.0010347779045634723</c:v>
                </c:pt>
                <c:pt idx="13">
                  <c:v>0.0010525386387558997</c:v>
                </c:pt>
                <c:pt idx="14">
                  <c:v>0.0010705495063626981</c:v>
                </c:pt>
                <c:pt idx="15">
                  <c:v>0.0010888121504365998</c:v>
                </c:pt>
                <c:pt idx="16">
                  <c:v>0.001107328158174738</c:v>
                </c:pt>
                <c:pt idx="17">
                  <c:v>0.001126099058372767</c:v>
                </c:pt>
                <c:pt idx="18">
                  <c:v>0.0011451263188518629</c:v>
                </c:pt>
                <c:pt idx="19">
                  <c:v>0.001164411343861039</c:v>
                </c:pt>
                <c:pt idx="20">
                  <c:v>0.001183955471457386</c:v>
                </c:pt>
                <c:pt idx="21">
                  <c:v>0.001203759970866966</c:v>
                </c:pt>
                <c:pt idx="22">
                  <c:v>0.0012238260398292756</c:v>
                </c:pt>
                <c:pt idx="23">
                  <c:v>0.0012441548019283136</c:v>
                </c:pt>
                <c:pt idx="24">
                  <c:v>0.0012647473039134602</c:v>
                </c:pt>
                <c:pt idx="25">
                  <c:v>0.0012856045130135395</c:v>
                </c:pt>
                <c:pt idx="26">
                  <c:v>0.0013067273142475424</c:v>
                </c:pt>
                <c:pt idx="27">
                  <c:v>0.0013281165077356932</c:v>
                </c:pt>
                <c:pt idx="28">
                  <c:v>0.001349772806014655</c:v>
                </c:pt>
                <c:pt idx="29">
                  <c:v>0.0013716968313608158</c:v>
                </c:pt>
                <c:pt idx="30">
                  <c:v>0.0013938891131257652</c:v>
                </c:pt>
              </c:numCache>
            </c:numRef>
          </c:yVal>
          <c:smooth val="0"/>
        </c:ser>
        <c:ser>
          <c:idx val="2"/>
          <c:order val="2"/>
          <c:tx>
            <c:v>FCV % VMT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E6E64C"/>
                </a:solidFill>
              </a:ln>
            </c:spPr>
          </c:marker>
          <c:xVal>
            <c:numRef>
              <c:f>'[1]Results'!$B$4:$B$34</c:f>
              <c:numCach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'[1]Results'!$I$242:$I$272</c:f>
              <c:numCache>
                <c:ptCount val="31"/>
                <c:pt idx="0">
                  <c:v>0</c:v>
                </c:pt>
                <c:pt idx="1">
                  <c:v>0</c:v>
                </c:pt>
                <c:pt idx="2">
                  <c:v>0</c:v>
                </c:pt>
                <c:pt idx="3">
                  <c:v>0</c:v>
                </c:pt>
                <c:pt idx="4">
                  <c:v>0</c:v>
                </c:pt>
                <c:pt idx="5">
                  <c:v>0</c:v>
                </c:pt>
                <c:pt idx="6">
                  <c:v>0</c:v>
                </c:pt>
                <c:pt idx="7">
                  <c:v>0</c:v>
                </c:pt>
                <c:pt idx="8">
                  <c:v>0</c:v>
                </c:pt>
                <c:pt idx="9">
                  <c:v>0</c:v>
                </c:pt>
                <c:pt idx="10">
                  <c:v>7.013654995971893E-05</c:v>
                </c:pt>
                <c:pt idx="11">
                  <c:v>0.00014452254723778494</c:v>
                </c:pt>
                <c:pt idx="12">
                  <c:v>0.0002168293577808926</c:v>
                </c:pt>
                <c:pt idx="13">
                  <c:v>0.0002864965476939687</c:v>
                </c:pt>
                <c:pt idx="14">
                  <c:v>0.00035802635580600885</c:v>
                </c:pt>
                <c:pt idx="15">
                  <c:v>0.0004294282296204466</c:v>
                </c:pt>
                <c:pt idx="16">
                  <c:v>0.0005008926315697674</c:v>
                </c:pt>
                <c:pt idx="17">
                  <c:v>0.0005726369298510029</c:v>
                </c:pt>
                <c:pt idx="18">
                  <c:v>0.0006433744858108567</c:v>
                </c:pt>
                <c:pt idx="19">
                  <c:v>0.0007120985900506242</c:v>
                </c:pt>
                <c:pt idx="20">
                  <c:v>0.0007777552649624656</c:v>
                </c:pt>
                <c:pt idx="21">
                  <c:v>0.0008405488842478455</c:v>
                </c:pt>
                <c:pt idx="22">
                  <c:v>0.0008983630727785473</c:v>
                </c:pt>
                <c:pt idx="23">
                  <c:v>0.0009504292429151429</c:v>
                </c:pt>
                <c:pt idx="24">
                  <c:v>0.0009963380685150426</c:v>
                </c:pt>
                <c:pt idx="25">
                  <c:v>0.0010364482602080417</c:v>
                </c:pt>
                <c:pt idx="26">
                  <c:v>0.0010712593138609424</c:v>
                </c:pt>
                <c:pt idx="27">
                  <c:v>0.0011014492970551418</c:v>
                </c:pt>
                <c:pt idx="28">
                  <c:v>0.0011281001853068052</c:v>
                </c:pt>
                <c:pt idx="29">
                  <c:v>0.0011509774299308334</c:v>
                </c:pt>
                <c:pt idx="30">
                  <c:v>0.0011727397077798925</c:v>
                </c:pt>
              </c:numCache>
            </c:numRef>
          </c:yVal>
          <c:smooth val="0"/>
        </c:ser>
        <c:axId val="34057882"/>
        <c:axId val="44126883"/>
      </c:scatterChart>
      <c:valAx>
        <c:axId val="34057882"/>
        <c:scaling>
          <c:orientation val="minMax"/>
          <c:max val="2030"/>
          <c:min val="2000"/>
        </c:scaling>
        <c:axPos val="b"/>
        <c:delete val="0"/>
        <c:numFmt formatCode="General" sourceLinked="1"/>
        <c:majorTickMark val="out"/>
        <c:minorTickMark val="none"/>
        <c:tickLblPos val="nextTo"/>
        <c:spPr>
          <a:ln w="3175">
            <a:solidFill>
              <a:srgbClr val="808080"/>
            </a:solidFill>
          </a:ln>
        </c:spPr>
        <c:crossAx val="44126883"/>
        <c:crosses val="autoZero"/>
        <c:crossBetween val="midCat"/>
        <c:dispUnits/>
      </c:valAx>
      <c:valAx>
        <c:axId val="441268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57882"/>
        <c:crosses val="autoZero"/>
        <c:crossBetween val="midCat"/>
        <c:dispUnits/>
      </c:valAx>
      <c:spPr>
        <a:solidFill>
          <a:srgbClr val="FFFFFF"/>
        </a:solidFill>
        <a:ln w="3175">
          <a:noFill/>
        </a:ln>
      </c:spPr>
    </c:plotArea>
    <c:legend>
      <c:legendPos val="r"/>
      <c:layout>
        <c:manualLayout>
          <c:xMode val="edge"/>
          <c:yMode val="edge"/>
          <c:x val="0.8145"/>
          <c:y val="0.40775"/>
          <c:w val="0.14475"/>
          <c:h val="0.1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9</xdr:row>
      <xdr:rowOff>295275</xdr:rowOff>
    </xdr:from>
    <xdr:to>
      <xdr:col>51</xdr:col>
      <xdr:colOff>352425</xdr:colOff>
      <xdr:row>15</xdr:row>
      <xdr:rowOff>0</xdr:rowOff>
    </xdr:to>
    <xdr:graphicFrame>
      <xdr:nvGraphicFramePr>
        <xdr:cNvPr id="1" name="Shape 7"/>
        <xdr:cNvGraphicFramePr/>
      </xdr:nvGraphicFramePr>
      <xdr:xfrm>
        <a:off x="32518350" y="5067300"/>
        <a:ext cx="4591050" cy="2705100"/>
      </xdr:xfrm>
      <a:graphic>
        <a:graphicData uri="http://schemas.openxmlformats.org/drawingml/2006/chart">
          <c:chart xmlns:c="http://schemas.openxmlformats.org/drawingml/2006/chart" r:id="rId1"/>
        </a:graphicData>
      </a:graphic>
    </xdr:graphicFrame>
    <xdr:clientData/>
  </xdr:twoCellAnchor>
  <xdr:twoCellAnchor>
    <xdr:from>
      <xdr:col>44</xdr:col>
      <xdr:colOff>323850</xdr:colOff>
      <xdr:row>15</xdr:row>
      <xdr:rowOff>9525</xdr:rowOff>
    </xdr:from>
    <xdr:to>
      <xdr:col>51</xdr:col>
      <xdr:colOff>352425</xdr:colOff>
      <xdr:row>24</xdr:row>
      <xdr:rowOff>447675</xdr:rowOff>
    </xdr:to>
    <xdr:graphicFrame>
      <xdr:nvGraphicFramePr>
        <xdr:cNvPr id="2" name="Shape 8"/>
        <xdr:cNvGraphicFramePr/>
      </xdr:nvGraphicFramePr>
      <xdr:xfrm>
        <a:off x="32204025" y="7781925"/>
        <a:ext cx="490537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590550</xdr:colOff>
      <xdr:row>29</xdr:row>
      <xdr:rowOff>419100</xdr:rowOff>
    </xdr:from>
    <xdr:to>
      <xdr:col>39</xdr:col>
      <xdr:colOff>590550</xdr:colOff>
      <xdr:row>35</xdr:row>
      <xdr:rowOff>695325</xdr:rowOff>
    </xdr:to>
    <xdr:graphicFrame>
      <xdr:nvGraphicFramePr>
        <xdr:cNvPr id="1" name="Chart 42"/>
        <xdr:cNvGraphicFramePr/>
      </xdr:nvGraphicFramePr>
      <xdr:xfrm>
        <a:off x="25450800" y="12896850"/>
        <a:ext cx="6400800" cy="4076700"/>
      </xdr:xfrm>
      <a:graphic>
        <a:graphicData uri="http://schemas.openxmlformats.org/drawingml/2006/chart">
          <c:chart xmlns:c="http://schemas.openxmlformats.org/drawingml/2006/chart" r:id="rId1"/>
        </a:graphicData>
      </a:graphic>
    </xdr:graphicFrame>
    <xdr:clientData/>
  </xdr:twoCellAnchor>
  <xdr:twoCellAnchor>
    <xdr:from>
      <xdr:col>32</xdr:col>
      <xdr:colOff>0</xdr:colOff>
      <xdr:row>78</xdr:row>
      <xdr:rowOff>0</xdr:rowOff>
    </xdr:from>
    <xdr:to>
      <xdr:col>39</xdr:col>
      <xdr:colOff>457200</xdr:colOff>
      <xdr:row>100</xdr:row>
      <xdr:rowOff>104775</xdr:rowOff>
    </xdr:to>
    <xdr:graphicFrame>
      <xdr:nvGraphicFramePr>
        <xdr:cNvPr id="2" name="Chart 45"/>
        <xdr:cNvGraphicFramePr/>
      </xdr:nvGraphicFramePr>
      <xdr:xfrm>
        <a:off x="24860250" y="28260675"/>
        <a:ext cx="6858000" cy="3667125"/>
      </xdr:xfrm>
      <a:graphic>
        <a:graphicData uri="http://schemas.openxmlformats.org/drawingml/2006/chart">
          <c:chart xmlns:c="http://schemas.openxmlformats.org/drawingml/2006/chart" r:id="rId2"/>
        </a:graphicData>
      </a:graphic>
    </xdr:graphicFrame>
    <xdr:clientData/>
  </xdr:twoCellAnchor>
  <xdr:twoCellAnchor>
    <xdr:from>
      <xdr:col>32</xdr:col>
      <xdr:colOff>0</xdr:colOff>
      <xdr:row>102</xdr:row>
      <xdr:rowOff>0</xdr:rowOff>
    </xdr:from>
    <xdr:to>
      <xdr:col>39</xdr:col>
      <xdr:colOff>457200</xdr:colOff>
      <xdr:row>124</xdr:row>
      <xdr:rowOff>104775</xdr:rowOff>
    </xdr:to>
    <xdr:graphicFrame>
      <xdr:nvGraphicFramePr>
        <xdr:cNvPr id="3" name="Chart 46"/>
        <xdr:cNvGraphicFramePr/>
      </xdr:nvGraphicFramePr>
      <xdr:xfrm>
        <a:off x="24860250" y="32146875"/>
        <a:ext cx="6858000" cy="36671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VISION%2007091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 Input"/>
      <sheetName val="Results"/>
      <sheetName val="Auto-LT data"/>
      <sheetName val="Tot ICE"/>
      <sheetName val="Tot EV"/>
      <sheetName val="Tot ETOH"/>
      <sheetName val="Tot Dsl"/>
      <sheetName val="Tot CNG"/>
      <sheetName val="Tot SI HEV Gas"/>
      <sheetName val="Tot SI PHEV"/>
      <sheetName val="Tot FCV"/>
      <sheetName val="Alt Fuel C. Coef"/>
      <sheetName val="Con C. Coef"/>
      <sheetName val="Population data"/>
      <sheetName val="Calculations"/>
      <sheetName val="ICE MPG Calc"/>
    </sheetNames>
    <sheetDataSet>
      <sheetData sheetId="1">
        <row r="4">
          <cell r="B4">
            <v>2000</v>
          </cell>
        </row>
        <row r="5">
          <cell r="B5">
            <v>2001</v>
          </cell>
        </row>
        <row r="6">
          <cell r="B6">
            <v>2002</v>
          </cell>
        </row>
        <row r="7">
          <cell r="B7">
            <v>2003</v>
          </cell>
        </row>
        <row r="8">
          <cell r="B8">
            <v>2004</v>
          </cell>
        </row>
        <row r="9">
          <cell r="B9">
            <v>2005</v>
          </cell>
        </row>
        <row r="10">
          <cell r="B10">
            <v>2006</v>
          </cell>
        </row>
        <row r="11">
          <cell r="B11">
            <v>2007</v>
          </cell>
        </row>
        <row r="12">
          <cell r="B12">
            <v>2008</v>
          </cell>
        </row>
        <row r="13">
          <cell r="B13">
            <v>2009</v>
          </cell>
        </row>
        <row r="14">
          <cell r="B14">
            <v>2010</v>
          </cell>
        </row>
        <row r="15">
          <cell r="B15">
            <v>2011</v>
          </cell>
        </row>
        <row r="16">
          <cell r="B16">
            <v>2012</v>
          </cell>
        </row>
        <row r="17">
          <cell r="B17">
            <v>2013</v>
          </cell>
        </row>
        <row r="18">
          <cell r="B18">
            <v>2014</v>
          </cell>
        </row>
        <row r="19">
          <cell r="B19">
            <v>2015</v>
          </cell>
        </row>
        <row r="20">
          <cell r="B20">
            <v>2016</v>
          </cell>
        </row>
        <row r="21">
          <cell r="B21">
            <v>2017</v>
          </cell>
        </row>
        <row r="22">
          <cell r="B22">
            <v>2018</v>
          </cell>
        </row>
        <row r="23">
          <cell r="B23">
            <v>2019</v>
          </cell>
        </row>
        <row r="24">
          <cell r="B24">
            <v>2020</v>
          </cell>
        </row>
        <row r="25">
          <cell r="B25">
            <v>2021</v>
          </cell>
        </row>
        <row r="26">
          <cell r="B26">
            <v>2022</v>
          </cell>
        </row>
        <row r="27">
          <cell r="B27">
            <v>2023</v>
          </cell>
        </row>
        <row r="28">
          <cell r="B28">
            <v>2024</v>
          </cell>
        </row>
        <row r="29">
          <cell r="B29">
            <v>2025</v>
          </cell>
        </row>
        <row r="30">
          <cell r="B30">
            <v>2026</v>
          </cell>
        </row>
        <row r="31">
          <cell r="B31">
            <v>2027</v>
          </cell>
        </row>
        <row r="32">
          <cell r="B32">
            <v>2028</v>
          </cell>
        </row>
        <row r="33">
          <cell r="B33">
            <v>2029</v>
          </cell>
        </row>
        <row r="34">
          <cell r="B34">
            <v>2030</v>
          </cell>
        </row>
        <row r="79">
          <cell r="I79">
            <v>0.02317359398413056</v>
          </cell>
        </row>
        <row r="92">
          <cell r="I92">
            <v>0.030231949434075974</v>
          </cell>
        </row>
        <row r="102">
          <cell r="I102">
            <v>0.024665915788890536</v>
          </cell>
        </row>
        <row r="106">
          <cell r="C106">
            <v>0.012689696099317298</v>
          </cell>
          <cell r="F106">
            <v>0.017972307738486595</v>
          </cell>
          <cell r="I106">
            <v>0.016418710085983012</v>
          </cell>
        </row>
        <row r="107">
          <cell r="C107">
            <v>0.01268158948217198</v>
          </cell>
          <cell r="F107">
            <v>0.011330063681867439</v>
          </cell>
          <cell r="I107">
            <v>0.017093524878644625</v>
          </cell>
        </row>
        <row r="108">
          <cell r="C108">
            <v>0.013277326395965152</v>
          </cell>
          <cell r="F108">
            <v>0.012650839629830555</v>
          </cell>
          <cell r="I108">
            <v>0.017918929134988108</v>
          </cell>
        </row>
        <row r="109">
          <cell r="C109">
            <v>0.01424833968378579</v>
          </cell>
          <cell r="F109">
            <v>0.013139313722284643</v>
          </cell>
          <cell r="I109">
            <v>0.019623414526910948</v>
          </cell>
        </row>
        <row r="110">
          <cell r="C110">
            <v>0.015052364425623955</v>
          </cell>
          <cell r="F110">
            <v>0.01239750744972129</v>
          </cell>
          <cell r="I110">
            <v>0.02083220908105175</v>
          </cell>
        </row>
        <row r="111">
          <cell r="C111">
            <v>0.016040252192359796</v>
          </cell>
          <cell r="F111">
            <v>0.011696014648851746</v>
          </cell>
          <cell r="I111">
            <v>0.022050988663408867</v>
          </cell>
        </row>
        <row r="112">
          <cell r="C112">
            <v>0.01649217062654206</v>
          </cell>
          <cell r="F112">
            <v>0.01080507888265026</v>
          </cell>
          <cell r="I112">
            <v>0.037024159171586225</v>
          </cell>
        </row>
        <row r="113">
          <cell r="C113">
            <v>0.01616600594718469</v>
          </cell>
          <cell r="F113">
            <v>0.010873181131513471</v>
          </cell>
          <cell r="I113">
            <v>0.021577479510886344</v>
          </cell>
        </row>
        <row r="114">
          <cell r="C114">
            <v>0.015007550230287</v>
          </cell>
          <cell r="F114">
            <v>0.0042409266950436415</v>
          </cell>
          <cell r="I114">
            <v>0.019928595455949733</v>
          </cell>
        </row>
        <row r="115">
          <cell r="C115">
            <v>0.013995860455879973</v>
          </cell>
          <cell r="F115">
            <v>0.0056409559465760446</v>
          </cell>
          <cell r="I115">
            <v>0.018472062738793028</v>
          </cell>
        </row>
        <row r="116">
          <cell r="C116">
            <v>0.013185160806724817</v>
          </cell>
          <cell r="F116">
            <v>0.007467127460649995</v>
          </cell>
          <cell r="I116">
            <v>0.017307941662823127</v>
          </cell>
        </row>
        <row r="117">
          <cell r="C117">
            <v>0.012589882044371115</v>
          </cell>
          <cell r="F117">
            <v>0.00982294908849134</v>
          </cell>
          <cell r="I117">
            <v>0.016499921143188604</v>
          </cell>
        </row>
        <row r="118">
          <cell r="C118">
            <v>0.012263592659748964</v>
          </cell>
          <cell r="F118">
            <v>0.012819049100814106</v>
          </cell>
          <cell r="I118">
            <v>0.016112235694104252</v>
          </cell>
        </row>
        <row r="119">
          <cell r="C119">
            <v>0.012175938773051368</v>
          </cell>
          <cell r="F119">
            <v>0.01656116186764792</v>
          </cell>
          <cell r="I119">
            <v>0.016257696172315088</v>
          </cell>
        </row>
        <row r="120">
          <cell r="C120">
            <v>0.012584897822935837</v>
          </cell>
          <cell r="F120">
            <v>0.021130891892954487</v>
          </cell>
          <cell r="I120">
            <v>0.01696773909845383</v>
          </cell>
        </row>
        <row r="121">
          <cell r="C121">
            <v>0.013398704211693233</v>
          </cell>
          <cell r="F121">
            <v>0.02656017249445515</v>
          </cell>
          <cell r="I121">
            <v>0.01831540439206282</v>
          </cell>
        </row>
        <row r="122">
          <cell r="C122">
            <v>0.014692037516705114</v>
          </cell>
          <cell r="F122">
            <v>0.03280421347229985</v>
          </cell>
          <cell r="I122">
            <v>0.020363134242029318</v>
          </cell>
        </row>
        <row r="123">
          <cell r="C123">
            <v>0.01649285513441895</v>
          </cell>
          <cell r="F123">
            <v>0.039722201747009495</v>
          </cell>
          <cell r="I123">
            <v>0.023150413995467668</v>
          </cell>
        </row>
        <row r="124">
          <cell r="C124">
            <v>0.01882298871333057</v>
          </cell>
          <cell r="F124">
            <v>0.04707699724755193</v>
          </cell>
          <cell r="I124">
            <v>0.0266781991010826</v>
          </cell>
        </row>
        <row r="125">
          <cell r="C125">
            <v>0.02167082244703385</v>
          </cell>
          <cell r="F125">
            <v>0.054560946620249795</v>
          </cell>
          <cell r="I125">
            <v>0.030901760847738165</v>
          </cell>
        </row>
        <row r="126">
          <cell r="C126">
            <v>0.02501084227201825</v>
          </cell>
          <cell r="F126">
            <v>0.06184433875183887</v>
          </cell>
          <cell r="I126">
            <v>0.03570637350954954</v>
          </cell>
        </row>
        <row r="127">
          <cell r="C127">
            <v>0.028872075271325157</v>
          </cell>
          <cell r="F127">
            <v>0.06863147875636451</v>
          </cell>
          <cell r="I127">
            <v>0.04115111668241044</v>
          </cell>
        </row>
        <row r="128">
          <cell r="C128">
            <v>0.033209548381649454</v>
          </cell>
          <cell r="F128">
            <v>0.07470511611997963</v>
          </cell>
          <cell r="I128">
            <v>0.04690940989585509</v>
          </cell>
        </row>
        <row r="129">
          <cell r="C129">
            <v>0.03782342475375253</v>
          </cell>
          <cell r="F129">
            <v>0.07994637916162559</v>
          </cell>
          <cell r="I129">
            <v>0.05276820438392779</v>
          </cell>
        </row>
        <row r="130">
          <cell r="C130">
            <v>0.04260837280170454</v>
          </cell>
          <cell r="F130">
            <v>0.08432942918227417</v>
          </cell>
          <cell r="I130">
            <v>0.05858097193898928</v>
          </cell>
        </row>
        <row r="131">
          <cell r="C131">
            <v>0.047472742555478196</v>
          </cell>
          <cell r="F131">
            <v>0.08789949020662902</v>
          </cell>
          <cell r="I131">
            <v>0.06421462205200382</v>
          </cell>
        </row>
        <row r="132">
          <cell r="C132">
            <v>0.05234501172839493</v>
          </cell>
          <cell r="F132">
            <v>0.09074547863665595</v>
          </cell>
          <cell r="I132">
            <v>0.069574381900211</v>
          </cell>
        </row>
        <row r="133">
          <cell r="C133">
            <v>0.057184875651730305</v>
          </cell>
          <cell r="F133">
            <v>0.09297559432301117</v>
          </cell>
          <cell r="I133">
            <v>0.07458723612194221</v>
          </cell>
        </row>
        <row r="134">
          <cell r="C134">
            <v>0.06183930223269424</v>
          </cell>
          <cell r="F134">
            <v>0.09469969504096173</v>
          </cell>
          <cell r="I134">
            <v>0.07919549739190822</v>
          </cell>
        </row>
        <row r="135">
          <cell r="C135">
            <v>0.06637656591968286</v>
          </cell>
          <cell r="F135">
            <v>0.09601874532485496</v>
          </cell>
          <cell r="I135">
            <v>0.08339954851682908</v>
          </cell>
        </row>
        <row r="136">
          <cell r="C136">
            <v>0.07066015864669216</v>
          </cell>
          <cell r="F136">
            <v>0.09701986289434344</v>
          </cell>
          <cell r="I136">
            <v>0.08716345855474084</v>
          </cell>
        </row>
        <row r="208">
          <cell r="C208">
            <v>0</v>
          </cell>
          <cell r="F208">
            <v>0</v>
          </cell>
          <cell r="I208">
            <v>0</v>
          </cell>
        </row>
        <row r="209">
          <cell r="C209">
            <v>0</v>
          </cell>
          <cell r="F209">
            <v>0</v>
          </cell>
          <cell r="I209">
            <v>0</v>
          </cell>
        </row>
        <row r="210">
          <cell r="C210">
            <v>0</v>
          </cell>
          <cell r="F210">
            <v>0</v>
          </cell>
          <cell r="I210">
            <v>0</v>
          </cell>
        </row>
        <row r="211">
          <cell r="C211">
            <v>0</v>
          </cell>
          <cell r="F211">
            <v>0</v>
          </cell>
          <cell r="I211">
            <v>0</v>
          </cell>
        </row>
        <row r="212">
          <cell r="C212">
            <v>0</v>
          </cell>
          <cell r="F212">
            <v>0</v>
          </cell>
          <cell r="I212">
            <v>0</v>
          </cell>
        </row>
        <row r="213">
          <cell r="C213">
            <v>0</v>
          </cell>
          <cell r="F213">
            <v>0</v>
          </cell>
          <cell r="I213">
            <v>0</v>
          </cell>
        </row>
        <row r="214">
          <cell r="C214">
            <v>0</v>
          </cell>
          <cell r="F214">
            <v>0</v>
          </cell>
          <cell r="I214">
            <v>0</v>
          </cell>
        </row>
        <row r="215">
          <cell r="C215">
            <v>0</v>
          </cell>
          <cell r="F215">
            <v>0</v>
          </cell>
          <cell r="I215">
            <v>0</v>
          </cell>
        </row>
        <row r="216">
          <cell r="C216">
            <v>0</v>
          </cell>
          <cell r="F216">
            <v>0</v>
          </cell>
          <cell r="I216">
            <v>0</v>
          </cell>
        </row>
        <row r="217">
          <cell r="C217">
            <v>0</v>
          </cell>
          <cell r="F217">
            <v>0</v>
          </cell>
          <cell r="I217">
            <v>0</v>
          </cell>
        </row>
        <row r="218">
          <cell r="C218">
            <v>0.0003789125053814228</v>
          </cell>
          <cell r="F218">
            <v>0.005</v>
          </cell>
          <cell r="I218">
            <v>0.0005540160103686477</v>
          </cell>
        </row>
        <row r="219">
          <cell r="C219">
            <v>0.0010954391611896373</v>
          </cell>
          <cell r="F219">
            <v>0.009739643859603344</v>
          </cell>
          <cell r="I219">
            <v>0.0016583203200895237</v>
          </cell>
        </row>
        <row r="220">
          <cell r="C220">
            <v>0.002419238282927429</v>
          </cell>
          <cell r="F220">
            <v>0.018401945704059376</v>
          </cell>
          <cell r="I220">
            <v>0.0037072265692609935</v>
          </cell>
        </row>
        <row r="221">
          <cell r="C221">
            <v>0.004717001265288496</v>
          </cell>
          <cell r="F221">
            <v>0.032958076922285764</v>
          </cell>
          <cell r="I221">
            <v>0.0073421989453779125</v>
          </cell>
        </row>
        <row r="222">
          <cell r="C222">
            <v>0.008501995048358055</v>
          </cell>
          <cell r="F222">
            <v>0.05427915477238093</v>
          </cell>
          <cell r="I222">
            <v>0.013264772320720288</v>
          </cell>
        </row>
        <row r="223">
          <cell r="C223">
            <v>0.014006524542553755</v>
          </cell>
          <cell r="F223">
            <v>0.07996911617269059</v>
          </cell>
          <cell r="I223">
            <v>0.021888320264505483</v>
          </cell>
        </row>
        <row r="224">
          <cell r="C224">
            <v>0.021136575619635587</v>
          </cell>
          <cell r="F224">
            <v>0.10453896128445447</v>
          </cell>
          <cell r="I224">
            <v>0.03299106275519192</v>
          </cell>
        </row>
        <row r="225">
          <cell r="C225">
            <v>0.02945741902585148</v>
          </cell>
          <cell r="F225">
            <v>0.12336024331471791</v>
          </cell>
          <cell r="I225">
            <v>0.04581311445704461</v>
          </cell>
        </row>
        <row r="226">
          <cell r="C226">
            <v>0.03848592991142155</v>
          </cell>
          <cell r="F226">
            <v>0.13547222325047317</v>
          </cell>
          <cell r="I226">
            <v>0.05946633705706401</v>
          </cell>
        </row>
        <row r="227">
          <cell r="C227">
            <v>0.04782613278626923</v>
          </cell>
          <cell r="F227">
            <v>0.14241594659151818</v>
          </cell>
          <cell r="I227">
            <v>0.07322922575527005</v>
          </cell>
        </row>
        <row r="228">
          <cell r="C228">
            <v>0.05723317204112478</v>
          </cell>
          <cell r="F228">
            <v>0.14613550829821567</v>
          </cell>
          <cell r="I228">
            <v>0.08654551369339605</v>
          </cell>
        </row>
        <row r="229">
          <cell r="C229">
            <v>0.06678708019419421</v>
          </cell>
          <cell r="F229">
            <v>0.14805573383498075</v>
          </cell>
          <cell r="I229">
            <v>0.09947893231441515</v>
          </cell>
        </row>
        <row r="230">
          <cell r="C230">
            <v>0.07617744175337425</v>
          </cell>
          <cell r="F230">
            <v>0.14902816462640212</v>
          </cell>
          <cell r="I230">
            <v>0.11135204406539342</v>
          </cell>
        </row>
        <row r="231">
          <cell r="C231">
            <v>0.08527480441079927</v>
          </cell>
          <cell r="F231">
            <v>0.14951582165190214</v>
          </cell>
          <cell r="I231">
            <v>0.12198703787148436</v>
          </cell>
        </row>
        <row r="232">
          <cell r="C232">
            <v>0.09390527339963416</v>
          </cell>
          <cell r="F232">
            <v>0.14975917281579396</v>
          </cell>
          <cell r="I232">
            <v>0.1313053702902571</v>
          </cell>
        </row>
        <row r="233">
          <cell r="C233">
            <v>0.10200873617350761</v>
          </cell>
          <cell r="F233">
            <v>0.1498803120230042</v>
          </cell>
          <cell r="I233">
            <v>0.13928602671580773</v>
          </cell>
        </row>
        <row r="234">
          <cell r="C234">
            <v>0.10953672459903178</v>
          </cell>
          <cell r="F234">
            <v>0.14994054082575006</v>
          </cell>
          <cell r="I234">
            <v>0.14595739574400862</v>
          </cell>
        </row>
        <row r="235">
          <cell r="C235">
            <v>0.11648023250173736</v>
          </cell>
          <cell r="F235">
            <v>0.1499704675546684</v>
          </cell>
          <cell r="I235">
            <v>0.15136961963716025</v>
          </cell>
        </row>
        <row r="236">
          <cell r="C236">
            <v>0.12277336671201228</v>
          </cell>
          <cell r="F236">
            <v>0.14998533316797813</v>
          </cell>
          <cell r="I236">
            <v>0.15562532256380268</v>
          </cell>
        </row>
        <row r="237">
          <cell r="C237">
            <v>0.1283034539784946</v>
          </cell>
          <cell r="F237">
            <v>0.14999271630823724</v>
          </cell>
          <cell r="I237">
            <v>0.15881253475576262</v>
          </cell>
        </row>
        <row r="238">
          <cell r="C238">
            <v>0.13314574522669229</v>
          </cell>
          <cell r="F238">
            <v>0.14999638293729495</v>
          </cell>
          <cell r="I238">
            <v>0.16109118244571757</v>
          </cell>
        </row>
        <row r="242">
          <cell r="C242">
            <v>0</v>
          </cell>
          <cell r="F242">
            <v>0</v>
          </cell>
          <cell r="I242">
            <v>0</v>
          </cell>
        </row>
        <row r="243">
          <cell r="C243">
            <v>0</v>
          </cell>
          <cell r="F243">
            <v>0</v>
          </cell>
          <cell r="I243">
            <v>0</v>
          </cell>
        </row>
        <row r="244">
          <cell r="C244">
            <v>0</v>
          </cell>
          <cell r="F244">
            <v>0</v>
          </cell>
          <cell r="I244">
            <v>0</v>
          </cell>
        </row>
        <row r="245">
          <cell r="C245">
            <v>0</v>
          </cell>
          <cell r="F245">
            <v>0</v>
          </cell>
          <cell r="I245">
            <v>0</v>
          </cell>
        </row>
        <row r="246">
          <cell r="C246">
            <v>0</v>
          </cell>
          <cell r="F246">
            <v>0</v>
          </cell>
          <cell r="I246">
            <v>0</v>
          </cell>
        </row>
        <row r="247">
          <cell r="C247">
            <v>0</v>
          </cell>
          <cell r="F247">
            <v>0</v>
          </cell>
          <cell r="I247">
            <v>0</v>
          </cell>
        </row>
        <row r="248">
          <cell r="C248">
            <v>0</v>
          </cell>
          <cell r="F248">
            <v>0</v>
          </cell>
          <cell r="I248">
            <v>0</v>
          </cell>
        </row>
        <row r="249">
          <cell r="C249">
            <v>0</v>
          </cell>
          <cell r="F249">
            <v>0</v>
          </cell>
          <cell r="I249">
            <v>0</v>
          </cell>
        </row>
        <row r="250">
          <cell r="C250">
            <v>0</v>
          </cell>
          <cell r="F250">
            <v>0</v>
          </cell>
          <cell r="I250">
            <v>0</v>
          </cell>
        </row>
        <row r="251">
          <cell r="C251">
            <v>0</v>
          </cell>
          <cell r="F251">
            <v>0</v>
          </cell>
          <cell r="I251">
            <v>0</v>
          </cell>
        </row>
        <row r="252">
          <cell r="C252">
            <v>7.578250107628458E-05</v>
          </cell>
          <cell r="F252">
            <v>0.0010000000000000002</v>
          </cell>
          <cell r="I252">
            <v>0.00011080320207372955</v>
          </cell>
        </row>
        <row r="253">
          <cell r="C253">
            <v>0.00014967065685560652</v>
          </cell>
          <cell r="F253">
            <v>0.0010172656073935442</v>
          </cell>
          <cell r="I253">
            <v>0.00022970820111058553</v>
          </cell>
        </row>
        <row r="254">
          <cell r="C254">
            <v>0.0002218427178749851</v>
          </cell>
          <cell r="F254">
            <v>0.0010347779045634723</v>
          </cell>
          <cell r="I254">
            <v>0.0003460549003604548</v>
          </cell>
        </row>
        <row r="255">
          <cell r="C255">
            <v>0.0002907184427882831</v>
          </cell>
          <cell r="F255">
            <v>0.0010525386387558997</v>
          </cell>
          <cell r="I255">
            <v>0.0004608713551558974</v>
          </cell>
        </row>
        <row r="256">
          <cell r="C256">
            <v>0.00036144187275202066</v>
          </cell>
          <cell r="F256">
            <v>0.0010705495063626984</v>
          </cell>
          <cell r="I256">
            <v>0.0005730957631351799</v>
          </cell>
        </row>
        <row r="257">
          <cell r="C257">
            <v>0.00043137346594222825</v>
          </cell>
          <cell r="F257">
            <v>0.0010888121504365996</v>
          </cell>
          <cell r="I257">
            <v>0.0006820626071565475</v>
          </cell>
        </row>
        <row r="258">
          <cell r="C258">
            <v>0.0005013408840306333</v>
          </cell>
          <cell r="F258">
            <v>0.001107328158174738</v>
          </cell>
          <cell r="I258">
            <v>0.0007869824542384734</v>
          </cell>
        </row>
        <row r="259">
          <cell r="C259">
            <v>0.000570913939932895</v>
          </cell>
          <cell r="F259">
            <v>0.001126099058372767</v>
          </cell>
          <cell r="I259">
            <v>0.0008869487354654228</v>
          </cell>
        </row>
        <row r="260">
          <cell r="C260">
            <v>0.0006397967827062109</v>
          </cell>
          <cell r="F260">
            <v>0.0011451263188518629</v>
          </cell>
          <cell r="I260">
            <v>0.0009807850117710911</v>
          </cell>
        </row>
        <row r="261">
          <cell r="C261">
            <v>0.0007071750826988735</v>
          </cell>
          <cell r="F261">
            <v>0.0011644113438610392</v>
          </cell>
          <cell r="I261">
            <v>0.0010671465562725772</v>
          </cell>
        </row>
        <row r="262">
          <cell r="C262">
            <v>0.0007726567501727544</v>
          </cell>
          <cell r="F262">
            <v>0.0011839554714573857</v>
          </cell>
          <cell r="I262">
            <v>0.001144117393759167</v>
          </cell>
        </row>
        <row r="263">
          <cell r="C263">
            <v>0.0008361213836574051</v>
          </cell>
          <cell r="F263">
            <v>0.001203759970866966</v>
          </cell>
          <cell r="I263">
            <v>0.00121237547000904</v>
          </cell>
        </row>
        <row r="264">
          <cell r="C264">
            <v>0.0008970020095572369</v>
          </cell>
          <cell r="F264">
            <v>0.0012238260398292756</v>
          </cell>
          <cell r="I264">
            <v>0.001269127291241369</v>
          </cell>
        </row>
        <row r="265">
          <cell r="C265">
            <v>0.0009542346920486907</v>
          </cell>
          <cell r="F265">
            <v>0.0012441548019283136</v>
          </cell>
          <cell r="I265">
            <v>0.001314538614617814</v>
          </cell>
        </row>
        <row r="266">
          <cell r="C266">
            <v>0.0010064700129314486</v>
          </cell>
          <cell r="F266">
            <v>0.0012647473039134602</v>
          </cell>
          <cell r="I266">
            <v>0.0013496093336346944</v>
          </cell>
        </row>
        <row r="267">
          <cell r="C267">
            <v>0.0010538442307428337</v>
          </cell>
          <cell r="F267">
            <v>0.00128560451301354</v>
          </cell>
          <cell r="I267">
            <v>0.0013759568479214685</v>
          </cell>
        </row>
        <row r="268">
          <cell r="C268">
            <v>0.001096717749251197</v>
          </cell>
          <cell r="F268">
            <v>0.0013067273142475424</v>
          </cell>
          <cell r="I268">
            <v>0.001395572223976331</v>
          </cell>
        </row>
        <row r="269">
          <cell r="C269">
            <v>0.0011359001830487385</v>
          </cell>
          <cell r="F269">
            <v>0.0013281165077356932</v>
          </cell>
          <cell r="I269">
            <v>0.0014103499432531654</v>
          </cell>
        </row>
        <row r="270">
          <cell r="C270">
            <v>0.001171625625581199</v>
          </cell>
          <cell r="F270">
            <v>0.001349772806014655</v>
          </cell>
          <cell r="I270">
            <v>0.0014222099545990988</v>
          </cell>
        </row>
        <row r="271">
          <cell r="C271">
            <v>0.0012036339042928285</v>
          </cell>
          <cell r="F271">
            <v>0.0013716968313608158</v>
          </cell>
          <cell r="I271">
            <v>0.0014323810293756214</v>
          </cell>
        </row>
        <row r="272">
          <cell r="C272">
            <v>0.0012421840557132544</v>
          </cell>
          <cell r="F272">
            <v>0.0013938891131257652</v>
          </cell>
          <cell r="I272">
            <v>0.001443795039509724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W57"/>
  <sheetViews>
    <sheetView workbookViewId="0" topLeftCell="A22">
      <selection activeCell="D47" sqref="D47"/>
    </sheetView>
  </sheetViews>
  <sheetFormatPr defaultColWidth="9.140625" defaultRowHeight="12.75"/>
  <cols>
    <col min="1" max="1" width="40.8515625" style="0" bestFit="1" customWidth="1"/>
    <col min="3" max="4" width="9.28125" style="0" bestFit="1" customWidth="1"/>
    <col min="5" max="5" width="12.28125" style="0" bestFit="1" customWidth="1"/>
    <col min="6" max="6" width="16.8515625" style="0" bestFit="1" customWidth="1"/>
    <col min="7" max="7" width="21.00390625" style="0" bestFit="1" customWidth="1"/>
  </cols>
  <sheetData>
    <row r="1" ht="12.75">
      <c r="E1" s="712"/>
    </row>
    <row r="2" spans="1:5" ht="12.75">
      <c r="A2" t="s">
        <v>447</v>
      </c>
      <c r="E2" s="712">
        <v>0.95</v>
      </c>
    </row>
    <row r="3" spans="1:23" ht="12.75">
      <c r="A3" t="s">
        <v>448</v>
      </c>
      <c r="C3" s="733"/>
      <c r="D3" s="733"/>
      <c r="E3" s="733"/>
      <c r="F3" s="733" t="s">
        <v>449</v>
      </c>
      <c r="G3" s="733"/>
      <c r="H3" s="733" t="s">
        <v>450</v>
      </c>
      <c r="I3" s="733"/>
      <c r="J3" s="733"/>
      <c r="K3" s="733"/>
      <c r="L3" s="733"/>
      <c r="M3" s="733"/>
      <c r="N3" s="733"/>
      <c r="O3" s="733"/>
      <c r="P3" s="733"/>
      <c r="Q3" s="733"/>
      <c r="R3" s="733"/>
      <c r="S3" s="733"/>
      <c r="T3" s="733"/>
      <c r="U3" s="733"/>
      <c r="V3" s="733"/>
      <c r="W3" s="733"/>
    </row>
    <row r="4" spans="2:8" ht="12.75">
      <c r="B4">
        <v>2030</v>
      </c>
      <c r="E4">
        <v>65</v>
      </c>
      <c r="F4" s="216">
        <v>0.32</v>
      </c>
      <c r="H4">
        <v>100</v>
      </c>
    </row>
    <row r="5" spans="2:5" ht="12.75">
      <c r="B5">
        <v>2000</v>
      </c>
      <c r="E5">
        <v>27.5</v>
      </c>
    </row>
    <row r="6" spans="1:5" ht="12.75">
      <c r="A6" t="s">
        <v>451</v>
      </c>
      <c r="E6" s="712">
        <v>0.9</v>
      </c>
    </row>
    <row r="7" spans="1:5" ht="12.75">
      <c r="A7" t="s">
        <v>452</v>
      </c>
      <c r="B7">
        <v>2030</v>
      </c>
      <c r="E7" s="734">
        <f>C9</f>
        <v>2785929.258054438</v>
      </c>
    </row>
    <row r="8" spans="2:5" ht="12.75">
      <c r="B8">
        <v>2000</v>
      </c>
      <c r="E8" s="734">
        <f>C39</f>
        <v>1595638.4000472394</v>
      </c>
    </row>
    <row r="9" spans="2:12" ht="12.75">
      <c r="B9">
        <v>2030</v>
      </c>
      <c r="C9">
        <f>L39</f>
        <v>2785929.258054438</v>
      </c>
      <c r="E9" s="734"/>
      <c r="K9">
        <v>1595.6384000472394</v>
      </c>
      <c r="L9">
        <f>K9*1000</f>
        <v>1595638.4000472394</v>
      </c>
    </row>
    <row r="10" spans="2:12" ht="12.75">
      <c r="B10">
        <f>B9-1</f>
        <v>2029</v>
      </c>
      <c r="C10">
        <f>L38</f>
        <v>2750261.444036708</v>
      </c>
      <c r="E10" s="734"/>
      <c r="K10">
        <v>1895.5973953090943</v>
      </c>
      <c r="L10">
        <f aca="true" t="shared" si="0" ref="L10:L39">K10*1000</f>
        <v>1895597.3953090943</v>
      </c>
    </row>
    <row r="11" spans="2:12" ht="12.75">
      <c r="B11">
        <f aca="true" t="shared" si="1" ref="B11:B41">B10-1</f>
        <v>2028</v>
      </c>
      <c r="C11">
        <f>L37</f>
        <v>2714593.630018979</v>
      </c>
      <c r="E11" s="734"/>
      <c r="K11">
        <v>1958.9185307684138</v>
      </c>
      <c r="L11">
        <f t="shared" si="0"/>
        <v>1958918.5307684138</v>
      </c>
    </row>
    <row r="12" spans="2:12" ht="12.75">
      <c r="B12">
        <f t="shared" si="1"/>
        <v>2027</v>
      </c>
      <c r="C12">
        <f>L36</f>
        <v>2678925.8160012346</v>
      </c>
      <c r="E12" s="734"/>
      <c r="K12">
        <v>1843.5233155239289</v>
      </c>
      <c r="L12">
        <f t="shared" si="0"/>
        <v>1843523.315523929</v>
      </c>
    </row>
    <row r="13" spans="2:12" ht="12.75">
      <c r="B13">
        <f t="shared" si="1"/>
        <v>2026</v>
      </c>
      <c r="C13">
        <f>L35</f>
        <v>2643258.0019835047</v>
      </c>
      <c r="E13" s="734"/>
      <c r="K13">
        <v>1950.484039695185</v>
      </c>
      <c r="L13">
        <f t="shared" si="0"/>
        <v>1950484.039695185</v>
      </c>
    </row>
    <row r="14" spans="2:12" ht="12.75">
      <c r="B14">
        <f t="shared" si="1"/>
        <v>2025</v>
      </c>
      <c r="C14">
        <f>L34</f>
        <v>2607590.1879657744</v>
      </c>
      <c r="E14" s="734"/>
      <c r="K14">
        <v>1983.918902995595</v>
      </c>
      <c r="L14">
        <f t="shared" si="0"/>
        <v>1983918.902995595</v>
      </c>
    </row>
    <row r="15" spans="2:12" ht="12.75">
      <c r="B15">
        <f t="shared" si="1"/>
        <v>2024</v>
      </c>
      <c r="C15">
        <f>L33</f>
        <v>2571922.373948046</v>
      </c>
      <c r="E15" s="734"/>
      <c r="K15">
        <v>2014.1174682927453</v>
      </c>
      <c r="L15">
        <f t="shared" si="0"/>
        <v>2014117.4682927453</v>
      </c>
    </row>
    <row r="16" spans="2:12" ht="12.75">
      <c r="B16">
        <f t="shared" si="1"/>
        <v>2023</v>
      </c>
      <c r="C16">
        <f>L32</f>
        <v>2536254.5599303152</v>
      </c>
      <c r="E16" s="734"/>
      <c r="K16">
        <v>2040.3768511436083</v>
      </c>
      <c r="L16">
        <f t="shared" si="0"/>
        <v>2040376.8511436083</v>
      </c>
    </row>
    <row r="17" spans="2:12" ht="12.75">
      <c r="B17">
        <f t="shared" si="1"/>
        <v>2022</v>
      </c>
      <c r="C17">
        <f>L31</f>
        <v>2500586.7459125863</v>
      </c>
      <c r="E17" s="734"/>
      <c r="K17">
        <v>2035.6731778704918</v>
      </c>
      <c r="L17">
        <f t="shared" si="0"/>
        <v>2035673.1778704918</v>
      </c>
    </row>
    <row r="18" spans="2:12" ht="12.75">
      <c r="B18">
        <f t="shared" si="1"/>
        <v>2021</v>
      </c>
      <c r="C18">
        <f>L30</f>
        <v>2464918.9318948565</v>
      </c>
      <c r="E18" s="734"/>
      <c r="K18">
        <v>2065.6266806066615</v>
      </c>
      <c r="L18">
        <f t="shared" si="0"/>
        <v>2065626.6806066614</v>
      </c>
    </row>
    <row r="19" spans="2:12" ht="12.75">
      <c r="B19">
        <f t="shared" si="1"/>
        <v>2020</v>
      </c>
      <c r="C19">
        <f>L29</f>
        <v>2322698.296118996</v>
      </c>
      <c r="E19" s="734"/>
      <c r="K19">
        <v>2096.0209281224543</v>
      </c>
      <c r="L19">
        <f t="shared" si="0"/>
        <v>2096020.9281224543</v>
      </c>
    </row>
    <row r="20" spans="2:12" ht="12.75">
      <c r="B20">
        <f t="shared" si="1"/>
        <v>2019</v>
      </c>
      <c r="C20">
        <f>L28</f>
        <v>2304248.1809342555</v>
      </c>
      <c r="E20" s="734"/>
      <c r="K20">
        <v>2118.1953920272144</v>
      </c>
      <c r="L20">
        <f t="shared" si="0"/>
        <v>2118195.3920272146</v>
      </c>
    </row>
    <row r="21" spans="2:12" ht="12.75">
      <c r="B21">
        <f t="shared" si="1"/>
        <v>2018</v>
      </c>
      <c r="C21">
        <f>L27</f>
        <v>2280126.011512088</v>
      </c>
      <c r="E21" s="734"/>
      <c r="K21">
        <v>2140.6044465521654</v>
      </c>
      <c r="L21">
        <f t="shared" si="0"/>
        <v>2140604.4465521653</v>
      </c>
    </row>
    <row r="22" spans="2:12" ht="12.75">
      <c r="B22">
        <f t="shared" si="1"/>
        <v>2017</v>
      </c>
      <c r="C22">
        <f>L26</f>
        <v>2256256.3665629555</v>
      </c>
      <c r="E22" s="734"/>
      <c r="K22">
        <v>2163.2505735051814</v>
      </c>
      <c r="L22">
        <f t="shared" si="0"/>
        <v>2163250.5735051814</v>
      </c>
    </row>
    <row r="23" spans="2:12" ht="12.75">
      <c r="B23">
        <f t="shared" si="1"/>
        <v>2016</v>
      </c>
      <c r="C23">
        <f>L25</f>
        <v>2232636.6025182647</v>
      </c>
      <c r="E23" s="734"/>
      <c r="K23">
        <v>2186.1362809499583</v>
      </c>
      <c r="L23">
        <f t="shared" si="0"/>
        <v>2186136.280949958</v>
      </c>
    </row>
    <row r="24" spans="2:12" ht="12.75">
      <c r="B24">
        <f t="shared" si="1"/>
        <v>2015</v>
      </c>
      <c r="C24">
        <f>L24</f>
        <v>2209264.1034837887</v>
      </c>
      <c r="E24" s="734"/>
      <c r="K24">
        <v>2209.264103483789</v>
      </c>
      <c r="L24">
        <f t="shared" si="0"/>
        <v>2209264.1034837887</v>
      </c>
    </row>
    <row r="25" spans="2:12" ht="12.75">
      <c r="B25">
        <f t="shared" si="1"/>
        <v>2014</v>
      </c>
      <c r="C25">
        <f>L23</f>
        <v>2186136.280949958</v>
      </c>
      <c r="E25" s="734"/>
      <c r="K25">
        <v>2232.6366025182647</v>
      </c>
      <c r="L25">
        <f t="shared" si="0"/>
        <v>2232636.6025182647</v>
      </c>
    </row>
    <row r="26" spans="2:12" ht="12.75">
      <c r="B26">
        <f t="shared" si="1"/>
        <v>2013</v>
      </c>
      <c r="C26">
        <f>L22</f>
        <v>2163250.5735051814</v>
      </c>
      <c r="E26" s="734"/>
      <c r="K26">
        <v>2256.2563665629555</v>
      </c>
      <c r="L26">
        <f t="shared" si="0"/>
        <v>2256256.3665629555</v>
      </c>
    </row>
    <row r="27" spans="2:12" ht="12.75">
      <c r="B27">
        <f t="shared" si="1"/>
        <v>2012</v>
      </c>
      <c r="C27">
        <f>L21</f>
        <v>2140604.4465521653</v>
      </c>
      <c r="E27" s="734"/>
      <c r="K27">
        <v>2280.126011512088</v>
      </c>
      <c r="L27">
        <f t="shared" si="0"/>
        <v>2280126.011512088</v>
      </c>
    </row>
    <row r="28" spans="2:12" ht="12.75">
      <c r="B28">
        <f t="shared" si="1"/>
        <v>2011</v>
      </c>
      <c r="C28">
        <f>L20</f>
        <v>2118195.3920272146</v>
      </c>
      <c r="E28" s="734"/>
      <c r="K28">
        <v>2304.2481809342553</v>
      </c>
      <c r="L28">
        <f t="shared" si="0"/>
        <v>2304248.1809342555</v>
      </c>
    </row>
    <row r="29" spans="2:12" ht="12.75">
      <c r="B29">
        <f t="shared" si="1"/>
        <v>2010</v>
      </c>
      <c r="C29">
        <f>L19</f>
        <v>2096020.9281224543</v>
      </c>
      <c r="E29" s="734"/>
      <c r="K29">
        <v>2322.698296118996</v>
      </c>
      <c r="L29">
        <f t="shared" si="0"/>
        <v>2322698.296118996</v>
      </c>
    </row>
    <row r="30" spans="2:12" ht="12.75">
      <c r="B30">
        <f t="shared" si="1"/>
        <v>2009</v>
      </c>
      <c r="C30">
        <f>L18</f>
        <v>2065626.6806066614</v>
      </c>
      <c r="E30" s="734"/>
      <c r="K30">
        <v>2464.9189318948565</v>
      </c>
      <c r="L30">
        <f t="shared" si="0"/>
        <v>2464918.9318948565</v>
      </c>
    </row>
    <row r="31" spans="2:12" ht="12.75">
      <c r="B31">
        <f t="shared" si="1"/>
        <v>2008</v>
      </c>
      <c r="C31">
        <f>L17</f>
        <v>2035673.1778704918</v>
      </c>
      <c r="E31" s="734"/>
      <c r="K31">
        <v>2500.586745912586</v>
      </c>
      <c r="L31">
        <f t="shared" si="0"/>
        <v>2500586.7459125863</v>
      </c>
    </row>
    <row r="32" spans="2:12" ht="12.75">
      <c r="B32">
        <f t="shared" si="1"/>
        <v>2007</v>
      </c>
      <c r="C32">
        <f>L16</f>
        <v>2040376.8511436083</v>
      </c>
      <c r="E32" s="734"/>
      <c r="K32">
        <v>2536.2545599303153</v>
      </c>
      <c r="L32">
        <f t="shared" si="0"/>
        <v>2536254.5599303152</v>
      </c>
    </row>
    <row r="33" spans="2:12" ht="12.75">
      <c r="B33">
        <f t="shared" si="1"/>
        <v>2006</v>
      </c>
      <c r="C33">
        <f>L15</f>
        <v>2014117.4682927453</v>
      </c>
      <c r="E33" s="734"/>
      <c r="K33">
        <v>2571.922373948046</v>
      </c>
      <c r="L33">
        <f t="shared" si="0"/>
        <v>2571922.373948046</v>
      </c>
    </row>
    <row r="34" spans="2:12" ht="12.75">
      <c r="B34">
        <f t="shared" si="1"/>
        <v>2005</v>
      </c>
      <c r="C34">
        <f>L14</f>
        <v>1983918.902995595</v>
      </c>
      <c r="E34" s="734"/>
      <c r="K34">
        <v>2607.5901879657745</v>
      </c>
      <c r="L34">
        <f t="shared" si="0"/>
        <v>2607590.1879657744</v>
      </c>
    </row>
    <row r="35" spans="2:12" ht="12.75">
      <c r="B35">
        <f t="shared" si="1"/>
        <v>2004</v>
      </c>
      <c r="C35">
        <f>L13</f>
        <v>1950484.039695185</v>
      </c>
      <c r="E35" s="734"/>
      <c r="K35">
        <v>2643.2580019835045</v>
      </c>
      <c r="L35">
        <f t="shared" si="0"/>
        <v>2643258.0019835047</v>
      </c>
    </row>
    <row r="36" spans="2:12" ht="12.75">
      <c r="B36">
        <f t="shared" si="1"/>
        <v>2003</v>
      </c>
      <c r="C36">
        <f>L12</f>
        <v>1843523.315523929</v>
      </c>
      <c r="E36" s="734"/>
      <c r="K36">
        <v>2678.9258160012346</v>
      </c>
      <c r="L36">
        <f t="shared" si="0"/>
        <v>2678925.8160012346</v>
      </c>
    </row>
    <row r="37" spans="2:12" ht="12.75">
      <c r="B37">
        <f t="shared" si="1"/>
        <v>2002</v>
      </c>
      <c r="C37">
        <f>L11</f>
        <v>1958918.5307684138</v>
      </c>
      <c r="E37" s="734"/>
      <c r="K37">
        <v>2714.5936300189787</v>
      </c>
      <c r="L37">
        <f t="shared" si="0"/>
        <v>2714593.630018979</v>
      </c>
    </row>
    <row r="38" spans="2:12" ht="12.75">
      <c r="B38">
        <f t="shared" si="1"/>
        <v>2001</v>
      </c>
      <c r="C38">
        <f>L10</f>
        <v>1895597.3953090943</v>
      </c>
      <c r="E38" s="734"/>
      <c r="K38">
        <v>2750.2614440367083</v>
      </c>
      <c r="L38">
        <f t="shared" si="0"/>
        <v>2750261.444036708</v>
      </c>
    </row>
    <row r="39" spans="2:12" ht="12.75">
      <c r="B39">
        <f t="shared" si="1"/>
        <v>2000</v>
      </c>
      <c r="C39">
        <f>L9</f>
        <v>1595638.4000472394</v>
      </c>
      <c r="E39" s="734"/>
      <c r="K39">
        <v>2785.929258054438</v>
      </c>
      <c r="L39">
        <f t="shared" si="0"/>
        <v>2785929.258054438</v>
      </c>
    </row>
    <row r="40" spans="2:5" ht="12.75">
      <c r="B40">
        <f t="shared" si="1"/>
        <v>1999</v>
      </c>
      <c r="E40" s="734"/>
    </row>
    <row r="41" spans="2:5" ht="12.75">
      <c r="B41">
        <f t="shared" si="1"/>
        <v>1998</v>
      </c>
      <c r="E41" s="734"/>
    </row>
    <row r="43" spans="1:4" ht="12.75">
      <c r="A43" t="s">
        <v>453</v>
      </c>
      <c r="B43">
        <v>2008</v>
      </c>
      <c r="C43">
        <v>2020</v>
      </c>
      <c r="D43">
        <v>2030</v>
      </c>
    </row>
    <row r="44" spans="1:7" ht="12.75">
      <c r="A44" t="s">
        <v>454</v>
      </c>
      <c r="B44" s="712">
        <f>1-SUM(B45:B51)</f>
        <v>0.95</v>
      </c>
      <c r="C44" s="712">
        <f>1-SUM(C45:C51)</f>
        <v>0.19999999999999984</v>
      </c>
      <c r="D44" s="712">
        <f>1-SUM(D45:D51)</f>
        <v>0.06999999999999995</v>
      </c>
      <c r="F44" s="712"/>
      <c r="G44" s="712"/>
    </row>
    <row r="45" spans="1:7" ht="12.75">
      <c r="A45" t="s">
        <v>455</v>
      </c>
      <c r="B45" s="735">
        <v>0.01</v>
      </c>
      <c r="C45" s="735">
        <v>0.1</v>
      </c>
      <c r="D45" s="712">
        <v>0</v>
      </c>
      <c r="F45" s="712"/>
      <c r="G45" s="712"/>
    </row>
    <row r="46" spans="1:7" ht="12.75">
      <c r="A46" t="s">
        <v>456</v>
      </c>
      <c r="B46" s="735">
        <v>0</v>
      </c>
      <c r="C46" s="735">
        <v>0.1</v>
      </c>
      <c r="D46" s="712">
        <v>0.1</v>
      </c>
      <c r="F46" s="712"/>
      <c r="G46" s="712"/>
    </row>
    <row r="47" spans="1:7" ht="12.75">
      <c r="A47" t="s">
        <v>457</v>
      </c>
      <c r="B47" s="735">
        <v>0</v>
      </c>
      <c r="C47" s="735">
        <v>0.4</v>
      </c>
      <c r="D47" s="712">
        <v>0.7</v>
      </c>
      <c r="F47" s="712"/>
      <c r="G47" s="712"/>
    </row>
    <row r="48" spans="1:7" ht="12.75">
      <c r="A48" t="s">
        <v>17</v>
      </c>
      <c r="B48" s="735">
        <v>0.04</v>
      </c>
      <c r="C48" s="735">
        <v>0.05</v>
      </c>
      <c r="D48" s="712">
        <v>0.03</v>
      </c>
      <c r="F48" s="712"/>
      <c r="G48" s="712"/>
    </row>
    <row r="49" spans="1:7" ht="12.75">
      <c r="A49" t="s">
        <v>458</v>
      </c>
      <c r="B49" s="735">
        <v>0</v>
      </c>
      <c r="C49" s="735">
        <v>0.05</v>
      </c>
      <c r="D49" s="712">
        <v>0.05</v>
      </c>
      <c r="F49" s="712"/>
      <c r="G49" s="712"/>
    </row>
    <row r="50" spans="1:7" ht="12.75">
      <c r="A50" t="s">
        <v>103</v>
      </c>
      <c r="B50" s="735">
        <v>0</v>
      </c>
      <c r="C50" s="735">
        <v>0.1</v>
      </c>
      <c r="D50" s="712">
        <v>0.05</v>
      </c>
      <c r="F50" s="712"/>
      <c r="G50" s="712"/>
    </row>
    <row r="51" spans="2:7" ht="12.75">
      <c r="B51" s="735"/>
      <c r="C51" s="735"/>
      <c r="D51" s="712"/>
      <c r="F51" s="712"/>
      <c r="G51" s="712"/>
    </row>
    <row r="52" spans="6:7" ht="12.75">
      <c r="F52" s="712"/>
      <c r="G52" s="712"/>
    </row>
    <row r="53" spans="1:7" ht="12.75">
      <c r="A53" t="s">
        <v>459</v>
      </c>
      <c r="B53" s="735">
        <f>SUM(B44:B51)</f>
        <v>1</v>
      </c>
      <c r="C53" s="735">
        <f>SUM(C44:C51)</f>
        <v>0.9999999999999999</v>
      </c>
      <c r="D53" s="735">
        <f>SUM(D44:D51)</f>
        <v>1</v>
      </c>
      <c r="F53" s="712"/>
      <c r="G53" s="712"/>
    </row>
    <row r="54" spans="6:7" ht="12.75">
      <c r="F54" s="712"/>
      <c r="G54" s="712"/>
    </row>
    <row r="55" spans="6:7" ht="12.75">
      <c r="F55" s="712"/>
      <c r="G55" s="712"/>
    </row>
    <row r="56" spans="1:7" ht="12.75">
      <c r="A56" t="s">
        <v>460</v>
      </c>
      <c r="B56">
        <v>0.097222</v>
      </c>
      <c r="F56" s="712"/>
      <c r="G56" s="712"/>
    </row>
    <row r="57" spans="6:7" ht="12.75">
      <c r="F57" s="712"/>
      <c r="G57" s="712"/>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D454"/>
  <sheetViews>
    <sheetView tabSelected="1" zoomScale="90" zoomScaleNormal="90" workbookViewId="0" topLeftCell="AH1">
      <selection activeCell="AU3" sqref="AU3"/>
    </sheetView>
  </sheetViews>
  <sheetFormatPr defaultColWidth="9.140625" defaultRowHeight="12.75"/>
  <cols>
    <col min="1" max="1" width="7.421875" style="0" customWidth="1"/>
    <col min="2" max="2" width="19.7109375" style="0" bestFit="1" customWidth="1"/>
    <col min="3" max="3" width="11.28125" style="0" bestFit="1" customWidth="1"/>
    <col min="4" max="4" width="15.421875" style="0" bestFit="1" customWidth="1"/>
    <col min="5" max="5" width="7.140625" style="0" bestFit="1" customWidth="1"/>
    <col min="7" max="7" width="6.57421875" style="0" customWidth="1"/>
    <col min="8" max="8" width="26.140625" style="0" customWidth="1"/>
    <col min="9" max="9" width="11.7109375" style="0" bestFit="1" customWidth="1"/>
    <col min="10" max="10" width="20.7109375" style="0" bestFit="1" customWidth="1"/>
    <col min="11" max="11" width="16.8515625" style="0" bestFit="1" customWidth="1"/>
    <col min="12" max="12" width="7.7109375" style="0" customWidth="1"/>
    <col min="13" max="13" width="16.8515625" style="0" bestFit="1" customWidth="1"/>
    <col min="14" max="15" width="16.8515625" style="0" customWidth="1"/>
    <col min="16" max="16" width="12.140625" style="0" bestFit="1" customWidth="1"/>
    <col min="17" max="17" width="24.57421875" style="0" bestFit="1" customWidth="1"/>
    <col min="18" max="18" width="12.8515625" style="0" customWidth="1"/>
    <col min="20" max="20" width="16.8515625" style="0" customWidth="1"/>
    <col min="21" max="21" width="15.57421875" style="0" customWidth="1"/>
    <col min="22" max="22" width="14.00390625" style="0" customWidth="1"/>
  </cols>
  <sheetData>
    <row r="1" spans="1:49" ht="12.75">
      <c r="A1" s="736" t="s">
        <v>461</v>
      </c>
      <c r="H1" s="736" t="s">
        <v>462</v>
      </c>
      <c r="Y1" t="s">
        <v>463</v>
      </c>
      <c r="AG1" s="182" t="s">
        <v>464</v>
      </c>
      <c r="AN1" t="s">
        <v>465</v>
      </c>
      <c r="AO1" s="182" t="s">
        <v>466</v>
      </c>
      <c r="AW1" s="182" t="s">
        <v>467</v>
      </c>
    </row>
    <row r="2" spans="1:56" ht="12.75">
      <c r="A2" t="s">
        <v>308</v>
      </c>
      <c r="B2" t="s">
        <v>468</v>
      </c>
      <c r="C2" t="s">
        <v>469</v>
      </c>
      <c r="D2" t="s">
        <v>470</v>
      </c>
      <c r="E2" t="s">
        <v>471</v>
      </c>
      <c r="F2" t="s">
        <v>472</v>
      </c>
      <c r="I2" t="s">
        <v>473</v>
      </c>
      <c r="J2" t="s">
        <v>474</v>
      </c>
      <c r="K2" t="s">
        <v>472</v>
      </c>
      <c r="L2" t="s">
        <v>308</v>
      </c>
      <c r="M2" t="s">
        <v>475</v>
      </c>
      <c r="N2" t="s">
        <v>476</v>
      </c>
      <c r="O2" t="s">
        <v>477</v>
      </c>
      <c r="P2" t="s">
        <v>478</v>
      </c>
      <c r="Q2" t="s">
        <v>479</v>
      </c>
      <c r="R2" t="s">
        <v>480</v>
      </c>
      <c r="S2" t="s">
        <v>481</v>
      </c>
      <c r="T2" s="182" t="s">
        <v>482</v>
      </c>
      <c r="V2" t="s">
        <v>483</v>
      </c>
      <c r="Y2" t="s">
        <v>484</v>
      </c>
      <c r="AA2" t="s">
        <v>485</v>
      </c>
      <c r="AE2" t="s">
        <v>476</v>
      </c>
      <c r="AG2" t="s">
        <v>486</v>
      </c>
      <c r="AH2" t="s">
        <v>487</v>
      </c>
      <c r="AI2" t="s">
        <v>488</v>
      </c>
      <c r="AJ2" t="s">
        <v>489</v>
      </c>
      <c r="AK2" t="s">
        <v>521</v>
      </c>
      <c r="AL2" t="s">
        <v>518</v>
      </c>
      <c r="AM2" t="s">
        <v>490</v>
      </c>
      <c r="AO2" t="s">
        <v>486</v>
      </c>
      <c r="AP2" t="s">
        <v>487</v>
      </c>
      <c r="AQ2" t="s">
        <v>488</v>
      </c>
      <c r="AR2" t="s">
        <v>489</v>
      </c>
      <c r="AS2" t="s">
        <v>521</v>
      </c>
      <c r="AT2" t="s">
        <v>518</v>
      </c>
      <c r="AU2" t="s">
        <v>490</v>
      </c>
      <c r="AV2" t="s">
        <v>465</v>
      </c>
      <c r="AW2" t="s">
        <v>486</v>
      </c>
      <c r="AX2" t="s">
        <v>487</v>
      </c>
      <c r="AY2" t="s">
        <v>488</v>
      </c>
      <c r="AZ2" t="s">
        <v>489</v>
      </c>
      <c r="BA2" t="s">
        <v>521</v>
      </c>
      <c r="BB2" t="s">
        <v>518</v>
      </c>
      <c r="BC2" t="s">
        <v>490</v>
      </c>
      <c r="BD2" t="s">
        <v>465</v>
      </c>
    </row>
    <row r="3" spans="1:56" ht="15">
      <c r="A3">
        <v>2030</v>
      </c>
      <c r="B3" s="737">
        <f>Input!D44</f>
        <v>0.06999999999999995</v>
      </c>
      <c r="C3" s="734">
        <f>B3*Input!C9</f>
        <v>195015.04806381054</v>
      </c>
      <c r="D3">
        <f>Input!E4</f>
        <v>65</v>
      </c>
      <c r="E3" s="738">
        <f>1/D3</f>
        <v>0.015384615384615385</v>
      </c>
      <c r="F3" s="739">
        <v>11500</v>
      </c>
      <c r="G3">
        <v>0.9999387165049468</v>
      </c>
      <c r="I3">
        <v>0</v>
      </c>
      <c r="J3" s="712">
        <v>1</v>
      </c>
      <c r="K3" s="739">
        <v>11500</v>
      </c>
      <c r="L3">
        <f>A3</f>
        <v>2030</v>
      </c>
      <c r="M3" s="740">
        <f aca="true" t="shared" si="0" ref="M3:M33">SUMPRODUCT($K$3:$K$33,E3:E33,C3:C33,J$3:J$33)</f>
        <v>1611938366.010152</v>
      </c>
      <c r="N3" s="740">
        <f>8.75*M3</f>
        <v>14104460702.58883</v>
      </c>
      <c r="O3" s="740">
        <f aca="true" t="shared" si="1" ref="O3:O33">SUMPRODUCT($K$3:$K$33,$J$3:$J$33,C3:C33)</f>
        <v>81738803733.29462</v>
      </c>
      <c r="P3" s="740">
        <f aca="true" t="shared" si="2" ref="P3:P33">SUMPRODUCT(C3:C33,J$3:J$33)</f>
        <v>11343783.613466298</v>
      </c>
      <c r="Q3" s="741">
        <f>O3/M3</f>
        <v>50.70839273812521</v>
      </c>
      <c r="R3" s="712">
        <f aca="true" t="shared" si="3" ref="R3:R33">O3/Y3</f>
        <v>0.20026939704527233</v>
      </c>
      <c r="S3" s="712">
        <f aca="true" t="shared" si="4" ref="S3:S33">P3/V3</f>
        <v>0.287375577329073</v>
      </c>
      <c r="T3">
        <v>2030</v>
      </c>
      <c r="U3" s="734">
        <f>Input!C9</f>
        <v>2785929.258054438</v>
      </c>
      <c r="V3" s="734">
        <f aca="true" t="shared" si="5" ref="V3:V37">SUMPRODUCT(U3:U33,J$3:J$33)</f>
        <v>39473721.87608191</v>
      </c>
      <c r="X3">
        <v>2030</v>
      </c>
      <c r="Y3" s="740">
        <f>O3+O68+O136+O201+O266+O394+O321</f>
        <v>408144254385.5913</v>
      </c>
      <c r="AA3" s="712">
        <f>B3+B68+B136+B201+B266+B321+B394</f>
        <v>1</v>
      </c>
      <c r="AE3" s="740">
        <f>N3+N68+N136+N201+N266</f>
        <v>43437645086.97828</v>
      </c>
      <c r="AG3" s="712">
        <f>S3</f>
        <v>0.287375577329073</v>
      </c>
      <c r="AH3" s="712">
        <f>S68</f>
        <v>0.43483142300844674</v>
      </c>
      <c r="AI3" s="712">
        <f>S136</f>
        <v>0.04824897572687685</v>
      </c>
      <c r="AJ3" s="712">
        <f>S201</f>
        <v>0.0822750080780688</v>
      </c>
      <c r="AK3" s="712">
        <f>S394</f>
        <v>0.06465310962870686</v>
      </c>
      <c r="AL3" s="712">
        <f>S321</f>
        <v>0.0411375040390344</v>
      </c>
      <c r="AM3" s="712">
        <f>S266</f>
        <v>0.04177449049548784</v>
      </c>
      <c r="AN3" s="712">
        <f>SUM(AG3:AM3)</f>
        <v>1.0002960883056944</v>
      </c>
      <c r="AO3" s="712">
        <f>R3</f>
        <v>0.20026939704527233</v>
      </c>
      <c r="AP3" s="712">
        <f>R68</f>
        <v>0.49837822741791377</v>
      </c>
      <c r="AQ3" s="712">
        <f>R136</f>
        <v>0.05044423746173697</v>
      </c>
      <c r="AR3" s="712">
        <f>R201</f>
        <v>0.09252370080285692</v>
      </c>
      <c r="AS3" s="712">
        <f>R321</f>
        <v>0.04626185040142846</v>
      </c>
      <c r="AT3" s="712">
        <f>R394</f>
        <v>0.07114313010177589</v>
      </c>
      <c r="AU3" s="712">
        <f>R266</f>
        <v>0.040979456769015585</v>
      </c>
      <c r="AV3" s="712">
        <f>SUM(AO3:AU3)</f>
        <v>0.9999999999999999</v>
      </c>
      <c r="AW3" s="712">
        <f>B3</f>
        <v>0.06999999999999995</v>
      </c>
      <c r="AX3" s="712">
        <f>B68</f>
        <v>0.7</v>
      </c>
      <c r="AY3" s="712">
        <f>B136</f>
        <v>0</v>
      </c>
      <c r="AZ3" s="712">
        <f>B201</f>
        <v>0.1</v>
      </c>
      <c r="BA3" s="712">
        <f>B321</f>
        <v>0.05</v>
      </c>
      <c r="BB3" s="712">
        <f>B394</f>
        <v>0.05</v>
      </c>
      <c r="BC3" s="712">
        <f>B266</f>
        <v>0.03</v>
      </c>
      <c r="BD3" s="712">
        <f>SUM(AW3:BC3)</f>
        <v>1</v>
      </c>
    </row>
    <row r="4" spans="1:56" ht="15">
      <c r="A4">
        <f>A3-1</f>
        <v>2029</v>
      </c>
      <c r="B4" s="737">
        <f aca="true" t="shared" si="6" ref="B4:B11">$B$13+(($B$3-$B$13)/($A$3-$A$13))*(ABS(A$13-A4))</f>
        <v>0.08299999999999995</v>
      </c>
      <c r="C4" s="734">
        <f>B4*Input!C10</f>
        <v>228271.69985504664</v>
      </c>
      <c r="D4">
        <f aca="true" t="shared" si="7" ref="D4:D32">$D$33+(($D$3-$D$33)/($A$3-$A$33))*(A4-$A$33)</f>
        <v>63.75</v>
      </c>
      <c r="E4" s="738">
        <f aca="true" t="shared" si="8" ref="E4:E63">1/D4</f>
        <v>0.01568627450980392</v>
      </c>
      <c r="F4" s="739">
        <v>13043.563248580209</v>
      </c>
      <c r="G4">
        <v>0.9997463409892979</v>
      </c>
      <c r="H4" t="s">
        <v>491</v>
      </c>
      <c r="I4">
        <v>1</v>
      </c>
      <c r="J4" s="712">
        <v>0.9721</v>
      </c>
      <c r="K4" s="739">
        <v>13043.563248580209</v>
      </c>
      <c r="L4">
        <f aca="true" t="shared" si="9" ref="L4:L33">A4</f>
        <v>2029</v>
      </c>
      <c r="M4" s="740">
        <f t="shared" si="0"/>
        <v>1833206445.182846</v>
      </c>
      <c r="N4" s="740">
        <f aca="true" t="shared" si="10" ref="N4:N33">8.75*M4</f>
        <v>16040556395.349903</v>
      </c>
      <c r="O4" s="740">
        <f t="shared" si="1"/>
        <v>90873204193.28798</v>
      </c>
      <c r="P4" s="740">
        <f t="shared" si="2"/>
        <v>12274058.548511868</v>
      </c>
      <c r="Q4" s="741">
        <f aca="true" t="shared" si="11" ref="Q4:Q33">O4/M4</f>
        <v>49.570633155953246</v>
      </c>
      <c r="R4" s="712">
        <f t="shared" si="3"/>
        <v>0.2260563658513573</v>
      </c>
      <c r="S4" s="712">
        <f t="shared" si="4"/>
        <v>0.3157709456140639</v>
      </c>
      <c r="T4">
        <f>T3-1</f>
        <v>2029</v>
      </c>
      <c r="U4" s="734">
        <f>Input!C10</f>
        <v>2750261.444036708</v>
      </c>
      <c r="V4" s="734">
        <f t="shared" si="5"/>
        <v>38870132.6673457</v>
      </c>
      <c r="X4">
        <f>X3-1</f>
        <v>2029</v>
      </c>
      <c r="Y4" s="740">
        <f>O4+O69+O137+O202+O267+O395+O322</f>
        <v>401993564087.6461</v>
      </c>
      <c r="AA4" s="712">
        <f>B4+B69+B137+B202+B267+B322+B395</f>
        <v>1</v>
      </c>
      <c r="AE4" s="740">
        <f aca="true" t="shared" si="12" ref="AE4:AE33">N4+N69+N137+N202+N267</f>
        <v>44041310158.0868</v>
      </c>
      <c r="AG4" s="712">
        <f aca="true" t="shared" si="13" ref="AG4:AG33">S4</f>
        <v>0.3157709456140639</v>
      </c>
      <c r="AH4" s="712">
        <f aca="true" t="shared" si="14" ref="AH4:AH33">S69</f>
        <v>0.40585479447201694</v>
      </c>
      <c r="AI4" s="712">
        <f aca="true" t="shared" si="15" ref="AI4:AI33">S137</f>
        <v>0.051719782752570484</v>
      </c>
      <c r="AJ4" s="712">
        <f aca="true" t="shared" si="16" ref="AJ4:AJ33">S202</f>
        <v>0.07954783906423611</v>
      </c>
      <c r="AK4" s="712">
        <f aca="true" t="shared" si="17" ref="AK4:AK33">S395</f>
        <v>0.06493726602839069</v>
      </c>
      <c r="AL4" s="712">
        <f aca="true" t="shared" si="18" ref="AL4:AL33">S322</f>
        <v>0.039773919532118056</v>
      </c>
      <c r="AM4" s="712">
        <f aca="true" t="shared" si="19" ref="AM4:AM33">S267</f>
        <v>0.04278756166133993</v>
      </c>
      <c r="AN4" s="712">
        <f aca="true" t="shared" si="20" ref="AN4:AN33">SUM(AG4:AM4)</f>
        <v>1.000392109124736</v>
      </c>
      <c r="AO4" s="712">
        <f aca="true" t="shared" si="21" ref="AO4:AO33">R4</f>
        <v>0.2260563658513573</v>
      </c>
      <c r="AP4" s="712">
        <f aca="true" t="shared" si="22" ref="AP4:AP33">R69</f>
        <v>0.46780656929552106</v>
      </c>
      <c r="AQ4" s="712">
        <f aca="true" t="shared" si="23" ref="AQ4:AQ33">R137</f>
        <v>0.055732985366591326</v>
      </c>
      <c r="AR4" s="712">
        <f aca="true" t="shared" si="24" ref="AR4:AR33">R202</f>
        <v>0.09033932543814421</v>
      </c>
      <c r="AS4" s="712">
        <f aca="true" t="shared" si="25" ref="AS4:AS33">R322</f>
        <v>0.04516966271907211</v>
      </c>
      <c r="AT4" s="712">
        <f aca="true" t="shared" si="26" ref="AT4:AT33">R395</f>
        <v>0.07259778084765348</v>
      </c>
      <c r="AU4" s="712">
        <f aca="true" t="shared" si="27" ref="AU4:AU33">R267</f>
        <v>0.04229731048166061</v>
      </c>
      <c r="AV4" s="712">
        <f aca="true" t="shared" si="28" ref="AV4:AV33">SUM(AO4:AU4)</f>
        <v>1</v>
      </c>
      <c r="AW4" s="712">
        <f aca="true" t="shared" si="29" ref="AW4:AW33">B4</f>
        <v>0.08299999999999995</v>
      </c>
      <c r="AX4" s="712">
        <f aca="true" t="shared" si="30" ref="AX4:AX33">B69</f>
        <v>0.67</v>
      </c>
      <c r="AY4" s="712">
        <f aca="true" t="shared" si="31" ref="AY4:AY33">B137</f>
        <v>0.01000000000000001</v>
      </c>
      <c r="AZ4" s="712">
        <f aca="true" t="shared" si="32" ref="AZ4:AZ33">B202</f>
        <v>0.1</v>
      </c>
      <c r="BA4" s="712">
        <f aca="true" t="shared" si="33" ref="BA4:BA33">B322</f>
        <v>0.05</v>
      </c>
      <c r="BB4" s="712">
        <f aca="true" t="shared" si="34" ref="BB4:BB33">B395</f>
        <v>0.05499999999999998</v>
      </c>
      <c r="BC4" s="712">
        <f aca="true" t="shared" si="35" ref="BC4:BC33">B267</f>
        <v>0.03199999999999999</v>
      </c>
      <c r="BD4" s="712">
        <f aca="true" t="shared" si="36" ref="BD4:BD33">SUM(AW4:BC4)</f>
        <v>1</v>
      </c>
    </row>
    <row r="5" spans="1:56" ht="15">
      <c r="A5">
        <f aca="true" t="shared" si="37" ref="A5:A63">A4-1</f>
        <v>2028</v>
      </c>
      <c r="B5" s="737">
        <f t="shared" si="6"/>
        <v>0.09599999999999993</v>
      </c>
      <c r="C5" s="734">
        <f>B5*Input!C11</f>
        <v>260600.98848182178</v>
      </c>
      <c r="D5">
        <f t="shared" si="7"/>
        <v>62.5</v>
      </c>
      <c r="E5" s="738">
        <f t="shared" si="8"/>
        <v>0.016</v>
      </c>
      <c r="F5" s="739">
        <v>12992.603980768254</v>
      </c>
      <c r="G5">
        <v>0.9992259726702135</v>
      </c>
      <c r="H5" s="712">
        <f>Input!E2</f>
        <v>0.95</v>
      </c>
      <c r="I5">
        <v>2</v>
      </c>
      <c r="J5" s="712">
        <v>0.95722</v>
      </c>
      <c r="K5" s="739">
        <v>12992.603980768254</v>
      </c>
      <c r="L5">
        <f t="shared" si="9"/>
        <v>2028</v>
      </c>
      <c r="M5" s="740">
        <f t="shared" si="0"/>
        <v>2079594051.53861</v>
      </c>
      <c r="N5" s="740">
        <f t="shared" si="10"/>
        <v>18196447950.962837</v>
      </c>
      <c r="O5" s="740">
        <f t="shared" si="1"/>
        <v>100752355993.24985</v>
      </c>
      <c r="P5" s="740">
        <f t="shared" si="2"/>
        <v>13243861.639115656</v>
      </c>
      <c r="Q5" s="741">
        <f t="shared" si="11"/>
        <v>48.44808818274275</v>
      </c>
      <c r="R5" s="712">
        <f t="shared" si="3"/>
        <v>0.2544988554188216</v>
      </c>
      <c r="S5" s="712">
        <f t="shared" si="4"/>
        <v>0.34602495561853563</v>
      </c>
      <c r="T5">
        <f aca="true" t="shared" si="38" ref="T5:T33">T4-1</f>
        <v>2028</v>
      </c>
      <c r="U5" s="734">
        <f>Input!C11</f>
        <v>2714593.630018979</v>
      </c>
      <c r="V5" s="734">
        <f t="shared" si="5"/>
        <v>38274296.18607028</v>
      </c>
      <c r="X5">
        <f aca="true" t="shared" si="39" ref="X5:X33">X4-1</f>
        <v>2028</v>
      </c>
      <c r="Y5" s="740">
        <f>O5+O70+O138+O203+O268+O396+O323</f>
        <v>395885301045.6355</v>
      </c>
      <c r="AA5" s="712">
        <f>B5+B70+B138+B203+B268+B323+B396</f>
        <v>1</v>
      </c>
      <c r="AE5" s="740">
        <f t="shared" si="12"/>
        <v>44831604565.772255</v>
      </c>
      <c r="AG5" s="712">
        <f t="shared" si="13"/>
        <v>0.34602495561853563</v>
      </c>
      <c r="AH5" s="712">
        <f t="shared" si="14"/>
        <v>0.37699056077801435</v>
      </c>
      <c r="AI5" s="712">
        <f t="shared" si="15"/>
        <v>0.05440043085083697</v>
      </c>
      <c r="AJ5" s="712">
        <f t="shared" si="16"/>
        <v>0.07649077717116584</v>
      </c>
      <c r="AK5" s="712">
        <f t="shared" si="17"/>
        <v>0.06465286848894064</v>
      </c>
      <c r="AL5" s="712">
        <f t="shared" si="18"/>
        <v>0.03824538858558292</v>
      </c>
      <c r="AM5" s="712">
        <f t="shared" si="19"/>
        <v>0.04368215930132026</v>
      </c>
      <c r="AN5" s="712">
        <f t="shared" si="20"/>
        <v>1.0004871407943967</v>
      </c>
      <c r="AO5" s="712">
        <f t="shared" si="21"/>
        <v>0.2544988554188216</v>
      </c>
      <c r="AP5" s="712">
        <f t="shared" si="22"/>
        <v>0.4370684545156045</v>
      </c>
      <c r="AQ5" s="712">
        <f t="shared" si="23"/>
        <v>0.06006501469642396</v>
      </c>
      <c r="AR5" s="712">
        <f t="shared" si="24"/>
        <v>0.08770565539960598</v>
      </c>
      <c r="AS5" s="712">
        <f t="shared" si="25"/>
        <v>0.04385282769980299</v>
      </c>
      <c r="AT5" s="712">
        <f t="shared" si="26"/>
        <v>0.0733313499134092</v>
      </c>
      <c r="AU5" s="712">
        <f t="shared" si="27"/>
        <v>0.0434778423563318</v>
      </c>
      <c r="AV5" s="712">
        <f t="shared" si="28"/>
        <v>1.0000000000000002</v>
      </c>
      <c r="AW5" s="712">
        <f t="shared" si="29"/>
        <v>0.09599999999999993</v>
      </c>
      <c r="AX5" s="712">
        <f t="shared" si="30"/>
        <v>0.64</v>
      </c>
      <c r="AY5" s="712">
        <f t="shared" si="31"/>
        <v>0.02000000000000001</v>
      </c>
      <c r="AZ5" s="712">
        <f t="shared" si="32"/>
        <v>0.1</v>
      </c>
      <c r="BA5" s="712">
        <f t="shared" si="33"/>
        <v>0.05</v>
      </c>
      <c r="BB5" s="712">
        <f t="shared" si="34"/>
        <v>0.05999999999999998</v>
      </c>
      <c r="BC5" s="712">
        <f t="shared" si="35"/>
        <v>0.03399999999999999</v>
      </c>
      <c r="BD5" s="712">
        <f t="shared" si="36"/>
        <v>1</v>
      </c>
    </row>
    <row r="6" spans="1:56" ht="15">
      <c r="A6">
        <f t="shared" si="37"/>
        <v>2027</v>
      </c>
      <c r="B6" s="737">
        <f t="shared" si="6"/>
        <v>0.10899999999999992</v>
      </c>
      <c r="C6" s="734">
        <f>B6*Input!C12</f>
        <v>292002.9139441344</v>
      </c>
      <c r="D6">
        <f t="shared" si="7"/>
        <v>61.25</v>
      </c>
      <c r="E6" s="738">
        <f t="shared" si="8"/>
        <v>0.0163265306122449</v>
      </c>
      <c r="F6" s="739">
        <v>12924.054574087057</v>
      </c>
      <c r="G6">
        <v>0.9979896337213188</v>
      </c>
      <c r="I6">
        <f>1+I5</f>
        <v>3</v>
      </c>
      <c r="J6" s="712">
        <v>0.9466</v>
      </c>
      <c r="K6" s="739">
        <v>12924.054574087057</v>
      </c>
      <c r="L6">
        <f t="shared" si="9"/>
        <v>2027</v>
      </c>
      <c r="M6" s="740">
        <f t="shared" si="0"/>
        <v>2352960124.107757</v>
      </c>
      <c r="N6" s="740">
        <f t="shared" si="10"/>
        <v>20588401085.942875</v>
      </c>
      <c r="O6" s="740">
        <f t="shared" si="1"/>
        <v>111412638972.18706</v>
      </c>
      <c r="P6" s="740">
        <f t="shared" si="2"/>
        <v>14252441.76207968</v>
      </c>
      <c r="Q6" s="741">
        <f t="shared" si="11"/>
        <v>47.34999026574441</v>
      </c>
      <c r="R6" s="712">
        <f t="shared" si="3"/>
        <v>0.2857947174232497</v>
      </c>
      <c r="S6" s="712">
        <f t="shared" si="4"/>
        <v>0.37817921785246555</v>
      </c>
      <c r="T6">
        <f t="shared" si="38"/>
        <v>2027</v>
      </c>
      <c r="U6" s="734">
        <f>Input!C12</f>
        <v>2678925.8160012346</v>
      </c>
      <c r="V6" s="734">
        <f t="shared" si="5"/>
        <v>37687004.174935415</v>
      </c>
      <c r="X6">
        <f t="shared" si="39"/>
        <v>2027</v>
      </c>
      <c r="Y6" s="740">
        <f>O6+O71+O139+O204+O269+O397+O324</f>
        <v>389834493711.7565</v>
      </c>
      <c r="AA6" s="712">
        <f>B6+B71+B139+B204+B269+B324+B397</f>
        <v>0.9999999999999999</v>
      </c>
      <c r="AE6" s="740">
        <f t="shared" si="12"/>
        <v>45821917520.70936</v>
      </c>
      <c r="AG6" s="712">
        <f t="shared" si="13"/>
        <v>0.37817921785246555</v>
      </c>
      <c r="AH6" s="712">
        <f t="shared" si="14"/>
        <v>0.3482915311668904</v>
      </c>
      <c r="AI6" s="712">
        <f t="shared" si="15"/>
        <v>0.056245352925520006</v>
      </c>
      <c r="AJ6" s="712">
        <f t="shared" si="16"/>
        <v>0.0730926364653042</v>
      </c>
      <c r="AK6" s="712">
        <f t="shared" si="17"/>
        <v>0.06377247224769193</v>
      </c>
      <c r="AL6" s="712">
        <f t="shared" si="18"/>
        <v>0.0365463182326521</v>
      </c>
      <c r="AM6" s="712">
        <f t="shared" si="19"/>
        <v>0.04445035978586554</v>
      </c>
      <c r="AN6" s="712">
        <f t="shared" si="20"/>
        <v>1.0005778886763896</v>
      </c>
      <c r="AO6" s="712">
        <f t="shared" si="21"/>
        <v>0.2857947174232497</v>
      </c>
      <c r="AP6" s="712">
        <f t="shared" si="22"/>
        <v>0.40618189342023553</v>
      </c>
      <c r="AQ6" s="712">
        <f t="shared" si="23"/>
        <v>0.06335214726194696</v>
      </c>
      <c r="AR6" s="712">
        <f t="shared" si="24"/>
        <v>0.08458745195203396</v>
      </c>
      <c r="AS6" s="712">
        <f t="shared" si="25"/>
        <v>0.04229372597601698</v>
      </c>
      <c r="AT6" s="712">
        <f t="shared" si="26"/>
        <v>0.07328210435001734</v>
      </c>
      <c r="AU6" s="712">
        <f t="shared" si="27"/>
        <v>0.04450795961649963</v>
      </c>
      <c r="AV6" s="712">
        <f t="shared" si="28"/>
        <v>1.0000000000000002</v>
      </c>
      <c r="AW6" s="712">
        <f t="shared" si="29"/>
        <v>0.10899999999999992</v>
      </c>
      <c r="AX6" s="712">
        <f t="shared" si="30"/>
        <v>0.61</v>
      </c>
      <c r="AY6" s="712">
        <f t="shared" si="31"/>
        <v>0.030000000000000013</v>
      </c>
      <c r="AZ6" s="712">
        <f t="shared" si="32"/>
        <v>0.1</v>
      </c>
      <c r="BA6" s="712">
        <f t="shared" si="33"/>
        <v>0.05</v>
      </c>
      <c r="BB6" s="712">
        <f t="shared" si="34"/>
        <v>0.06499999999999997</v>
      </c>
      <c r="BC6" s="712">
        <f t="shared" si="35"/>
        <v>0.03599999999999999</v>
      </c>
      <c r="BD6" s="712">
        <f t="shared" si="36"/>
        <v>0.9999999999999999</v>
      </c>
    </row>
    <row r="7" spans="1:56" ht="15">
      <c r="A7">
        <f t="shared" si="37"/>
        <v>2026</v>
      </c>
      <c r="B7" s="737">
        <f t="shared" si="6"/>
        <v>0.12199999999999991</v>
      </c>
      <c r="C7" s="734">
        <f>B7*Input!C13</f>
        <v>322477.4762419874</v>
      </c>
      <c r="D7">
        <f t="shared" si="7"/>
        <v>60</v>
      </c>
      <c r="E7" s="738">
        <f t="shared" si="8"/>
        <v>0.016666666666666666</v>
      </c>
      <c r="F7" s="739">
        <v>12832.160862235609</v>
      </c>
      <c r="G7">
        <v>0.9953668298610856</v>
      </c>
      <c r="I7">
        <f aca="true" t="shared" si="40" ref="I7:I33">1+I6</f>
        <v>4</v>
      </c>
      <c r="J7" s="712">
        <v>0.9312</v>
      </c>
      <c r="K7" s="739">
        <v>12832.160862235609</v>
      </c>
      <c r="L7">
        <f t="shared" si="9"/>
        <v>2026</v>
      </c>
      <c r="M7" s="740">
        <f t="shared" si="0"/>
        <v>2654779566.9664984</v>
      </c>
      <c r="N7" s="740">
        <f t="shared" si="10"/>
        <v>23229321210.95686</v>
      </c>
      <c r="O7" s="740">
        <f t="shared" si="1"/>
        <v>122869580703.1979</v>
      </c>
      <c r="P7" s="740">
        <f t="shared" si="2"/>
        <v>15298107.05193454</v>
      </c>
      <c r="Q7" s="741">
        <f t="shared" si="11"/>
        <v>46.282404095642356</v>
      </c>
      <c r="R7" s="712">
        <f t="shared" si="3"/>
        <v>0.320091515218991</v>
      </c>
      <c r="S7" s="712">
        <f t="shared" si="4"/>
        <v>0.41224785534395353</v>
      </c>
      <c r="T7">
        <f t="shared" si="38"/>
        <v>2026</v>
      </c>
      <c r="U7" s="734">
        <f>Input!C13</f>
        <v>2643258.0019835047</v>
      </c>
      <c r="V7" s="734">
        <f t="shared" si="5"/>
        <v>37109003.36684776</v>
      </c>
      <c r="X7">
        <f t="shared" si="39"/>
        <v>2026</v>
      </c>
      <c r="Y7" s="740">
        <f>O7+O72+O140+O205+O270+O398+O325</f>
        <v>383857662141.20526</v>
      </c>
      <c r="AA7" s="712">
        <f>B7+B72+B140+B205+B270+B325+B398</f>
        <v>0.9999999999999999</v>
      </c>
      <c r="AE7" s="740">
        <f t="shared" si="12"/>
        <v>47023783217.01075</v>
      </c>
      <c r="AG7" s="712">
        <f t="shared" si="13"/>
        <v>0.41224785534395353</v>
      </c>
      <c r="AH7" s="712">
        <f t="shared" si="14"/>
        <v>0.3198263109967362</v>
      </c>
      <c r="AI7" s="712">
        <f t="shared" si="15"/>
        <v>0.05721420109609517</v>
      </c>
      <c r="AJ7" s="712">
        <f t="shared" si="16"/>
        <v>0.06934694781137274</v>
      </c>
      <c r="AK7" s="712">
        <f t="shared" si="17"/>
        <v>0.0622738611861652</v>
      </c>
      <c r="AL7" s="712">
        <f t="shared" si="18"/>
        <v>0.03467347390568637</v>
      </c>
      <c r="AM7" s="712">
        <f t="shared" si="19"/>
        <v>0.045084616810596376</v>
      </c>
      <c r="AN7" s="712">
        <f t="shared" si="20"/>
        <v>1.0006672671506056</v>
      </c>
      <c r="AO7" s="712">
        <f t="shared" si="21"/>
        <v>0.320091515218991</v>
      </c>
      <c r="AP7" s="712">
        <f t="shared" si="22"/>
        <v>0.3751859401203491</v>
      </c>
      <c r="AQ7" s="712">
        <f t="shared" si="23"/>
        <v>0.06551454217255394</v>
      </c>
      <c r="AR7" s="712">
        <f t="shared" si="24"/>
        <v>0.08095691907195822</v>
      </c>
      <c r="AS7" s="712">
        <f t="shared" si="25"/>
        <v>0.04047845953597911</v>
      </c>
      <c r="AT7" s="712">
        <f t="shared" si="26"/>
        <v>0.07239720843320546</v>
      </c>
      <c r="AU7" s="712">
        <f t="shared" si="27"/>
        <v>0.04537541544696315</v>
      </c>
      <c r="AV7" s="712">
        <f t="shared" si="28"/>
        <v>0.9999999999999999</v>
      </c>
      <c r="AW7" s="712">
        <f t="shared" si="29"/>
        <v>0.12199999999999991</v>
      </c>
      <c r="AX7" s="712">
        <f t="shared" si="30"/>
        <v>0.58</v>
      </c>
      <c r="AY7" s="712">
        <f t="shared" si="31"/>
        <v>0.040000000000000015</v>
      </c>
      <c r="AZ7" s="712">
        <f t="shared" si="32"/>
        <v>0.1</v>
      </c>
      <c r="BA7" s="712">
        <f t="shared" si="33"/>
        <v>0.05</v>
      </c>
      <c r="BB7" s="712">
        <f t="shared" si="34"/>
        <v>0.06999999999999998</v>
      </c>
      <c r="BC7" s="712">
        <f t="shared" si="35"/>
        <v>0.03799999999999999</v>
      </c>
      <c r="BD7" s="712">
        <f t="shared" si="36"/>
        <v>0.9999999999999999</v>
      </c>
    </row>
    <row r="8" spans="1:56" ht="15">
      <c r="A8">
        <f t="shared" si="37"/>
        <v>2025</v>
      </c>
      <c r="B8" s="737">
        <f t="shared" si="6"/>
        <v>0.1349999999999999</v>
      </c>
      <c r="C8" s="734">
        <f>B8*Input!C14</f>
        <v>352024.6753753793</v>
      </c>
      <c r="D8">
        <f t="shared" si="7"/>
        <v>58.75</v>
      </c>
      <c r="E8" s="738">
        <f t="shared" si="8"/>
        <v>0.01702127659574468</v>
      </c>
      <c r="F8" s="739">
        <v>12709.54113249245</v>
      </c>
      <c r="G8">
        <v>0.9903288396229462</v>
      </c>
      <c r="H8" t="s">
        <v>492</v>
      </c>
      <c r="I8">
        <f t="shared" si="40"/>
        <v>5</v>
      </c>
      <c r="J8" s="712">
        <v>0.9145</v>
      </c>
      <c r="K8" s="739">
        <v>12709.54113249245</v>
      </c>
      <c r="L8">
        <f t="shared" si="9"/>
        <v>2025</v>
      </c>
      <c r="M8" s="740">
        <f t="shared" si="0"/>
        <v>2985864270.980649</v>
      </c>
      <c r="N8" s="740">
        <f t="shared" si="10"/>
        <v>26126312371.080677</v>
      </c>
      <c r="O8" s="740">
        <f t="shared" si="1"/>
        <v>135107426405.84317</v>
      </c>
      <c r="P8" s="740">
        <f t="shared" si="2"/>
        <v>16376757.65142517</v>
      </c>
      <c r="Q8" s="741">
        <f t="shared" si="11"/>
        <v>45.2490180879755</v>
      </c>
      <c r="R8" s="712">
        <f t="shared" si="3"/>
        <v>0.35746166400114404</v>
      </c>
      <c r="S8" s="712">
        <f t="shared" si="4"/>
        <v>0.4481873478986477</v>
      </c>
      <c r="T8">
        <f t="shared" si="38"/>
        <v>2025</v>
      </c>
      <c r="U8" s="734">
        <f>Input!C14</f>
        <v>2607590.1879657744</v>
      </c>
      <c r="V8" s="734">
        <f t="shared" si="5"/>
        <v>36539982.05930744</v>
      </c>
      <c r="X8">
        <f t="shared" si="39"/>
        <v>2025</v>
      </c>
      <c r="Y8" s="740">
        <f>O8+O73+O141+O206+O271+O399+O326</f>
        <v>377963401427.6025</v>
      </c>
      <c r="AA8" s="712">
        <f>B8+B73+B141+B206+B271+B326+B399</f>
        <v>0.9999999999999999</v>
      </c>
      <c r="AE8" s="740">
        <f t="shared" si="12"/>
        <v>48444432250.95566</v>
      </c>
      <c r="AG8" s="712">
        <f t="shared" si="13"/>
        <v>0.4481873478986477</v>
      </c>
      <c r="AH8" s="712">
        <f t="shared" si="14"/>
        <v>0.29168607245745565</v>
      </c>
      <c r="AI8" s="712">
        <f t="shared" si="15"/>
        <v>0.05727534508198616</v>
      </c>
      <c r="AJ8" s="712">
        <f t="shared" si="16"/>
        <v>0.06525498766607803</v>
      </c>
      <c r="AK8" s="712">
        <f t="shared" si="17"/>
        <v>0.06014396736722075</v>
      </c>
      <c r="AL8" s="712">
        <f t="shared" si="18"/>
        <v>0.03262749383303901</v>
      </c>
      <c r="AM8" s="712">
        <f t="shared" si="19"/>
        <v>0.04557827574808469</v>
      </c>
      <c r="AN8" s="712">
        <f t="shared" si="20"/>
        <v>1.000753490052512</v>
      </c>
      <c r="AO8" s="712">
        <f t="shared" si="21"/>
        <v>0.35746166400114404</v>
      </c>
      <c r="AP8" s="712">
        <f t="shared" si="22"/>
        <v>0.3441495135418249</v>
      </c>
      <c r="AQ8" s="712">
        <f t="shared" si="23"/>
        <v>0.06648568158554173</v>
      </c>
      <c r="AR8" s="712">
        <f t="shared" si="24"/>
        <v>0.07679745159425445</v>
      </c>
      <c r="AS8" s="712">
        <f t="shared" si="25"/>
        <v>0.03839872579712723</v>
      </c>
      <c r="AT8" s="712">
        <f t="shared" si="26"/>
        <v>0.07063750040011993</v>
      </c>
      <c r="AU8" s="712">
        <f t="shared" si="27"/>
        <v>0.04606946307998768</v>
      </c>
      <c r="AV8" s="712">
        <f t="shared" si="28"/>
        <v>1</v>
      </c>
      <c r="AW8" s="712">
        <f t="shared" si="29"/>
        <v>0.1349999999999999</v>
      </c>
      <c r="AX8" s="712">
        <f t="shared" si="30"/>
        <v>0.5499999999999999</v>
      </c>
      <c r="AY8" s="712">
        <f t="shared" si="31"/>
        <v>0.05000000000000002</v>
      </c>
      <c r="AZ8" s="712">
        <f t="shared" si="32"/>
        <v>0.1</v>
      </c>
      <c r="BA8" s="712">
        <f t="shared" si="33"/>
        <v>0.05</v>
      </c>
      <c r="BB8" s="712">
        <f t="shared" si="34"/>
        <v>0.07499999999999998</v>
      </c>
      <c r="BC8" s="712">
        <f t="shared" si="35"/>
        <v>0.039999999999999994</v>
      </c>
      <c r="BD8" s="712">
        <f t="shared" si="36"/>
        <v>0.9999999999999999</v>
      </c>
    </row>
    <row r="9" spans="1:56" ht="15">
      <c r="A9">
        <f t="shared" si="37"/>
        <v>2024</v>
      </c>
      <c r="B9" s="737">
        <f t="shared" si="6"/>
        <v>0.14799999999999988</v>
      </c>
      <c r="C9" s="734">
        <f>B9*Input!C15</f>
        <v>380644.5113443105</v>
      </c>
      <c r="D9">
        <f t="shared" si="7"/>
        <v>57.5</v>
      </c>
      <c r="E9" s="738">
        <f t="shared" si="8"/>
        <v>0.017391304347826087</v>
      </c>
      <c r="F9" s="739">
        <v>12546.92703339467</v>
      </c>
      <c r="G9">
        <v>0.9814637018526373</v>
      </c>
      <c r="H9" s="712">
        <f>Input!E6</f>
        <v>0.9</v>
      </c>
      <c r="I9">
        <f t="shared" si="40"/>
        <v>6</v>
      </c>
      <c r="J9" s="712">
        <v>0.8937</v>
      </c>
      <c r="K9" s="739">
        <v>12546.92703339467</v>
      </c>
      <c r="L9">
        <f t="shared" si="9"/>
        <v>2024</v>
      </c>
      <c r="M9" s="740">
        <f t="shared" si="0"/>
        <v>3346524577.8412585</v>
      </c>
      <c r="N9" s="740">
        <f t="shared" si="10"/>
        <v>29282090056.11101</v>
      </c>
      <c r="O9" s="740">
        <f t="shared" si="1"/>
        <v>148086496284.25586</v>
      </c>
      <c r="P9" s="740">
        <f t="shared" si="2"/>
        <v>17485276.88742006</v>
      </c>
      <c r="Q9" s="741">
        <f t="shared" si="11"/>
        <v>44.250831822601455</v>
      </c>
      <c r="R9" s="712">
        <f t="shared" si="3"/>
        <v>0.3979085066855747</v>
      </c>
      <c r="S9" s="712">
        <f t="shared" si="4"/>
        <v>0.4859457345037968</v>
      </c>
      <c r="T9">
        <f t="shared" si="38"/>
        <v>2024</v>
      </c>
      <c r="U9" s="734">
        <f>Input!C15</f>
        <v>2571922.373948046</v>
      </c>
      <c r="V9" s="734">
        <f t="shared" si="5"/>
        <v>35981953.63372089</v>
      </c>
      <c r="X9">
        <f t="shared" si="39"/>
        <v>2024</v>
      </c>
      <c r="Y9" s="740">
        <f>O9+O74+O142+O207+O272+O400+O327</f>
        <v>372162177475.8212</v>
      </c>
      <c r="AA9" s="712">
        <f>B9+B74+B142+B207+B272+B327+B400</f>
        <v>0.9999999999999999</v>
      </c>
      <c r="AE9" s="740">
        <f t="shared" si="12"/>
        <v>50088504362.60292</v>
      </c>
      <c r="AG9" s="712">
        <f t="shared" si="13"/>
        <v>0.4859457345037968</v>
      </c>
      <c r="AH9" s="712">
        <f t="shared" si="14"/>
        <v>0.2639612667559767</v>
      </c>
      <c r="AI9" s="712">
        <f t="shared" si="15"/>
        <v>0.056400665929664966</v>
      </c>
      <c r="AJ9" s="712">
        <f t="shared" si="16"/>
        <v>0.06082008236704906</v>
      </c>
      <c r="AK9" s="712">
        <f t="shared" si="17"/>
        <v>0.05737325948575232</v>
      </c>
      <c r="AL9" s="712">
        <f t="shared" si="18"/>
        <v>0.03041004118352453</v>
      </c>
      <c r="AM9" s="712">
        <f t="shared" si="19"/>
        <v>0.04592503495450727</v>
      </c>
      <c r="AN9" s="712">
        <f t="shared" si="20"/>
        <v>1.0008360851802716</v>
      </c>
      <c r="AO9" s="712">
        <f t="shared" si="21"/>
        <v>0.3979085066855747</v>
      </c>
      <c r="AP9" s="712">
        <f t="shared" si="22"/>
        <v>0.31316960426157253</v>
      </c>
      <c r="AQ9" s="712">
        <f t="shared" si="23"/>
        <v>0.066210848173203</v>
      </c>
      <c r="AR9" s="712">
        <f t="shared" si="24"/>
        <v>0.07210278163483458</v>
      </c>
      <c r="AS9" s="712">
        <f t="shared" si="25"/>
        <v>0.03605139081741729</v>
      </c>
      <c r="AT9" s="712">
        <f t="shared" si="26"/>
        <v>0.06797636868112886</v>
      </c>
      <c r="AU9" s="712">
        <f t="shared" si="27"/>
        <v>0.04658049974626901</v>
      </c>
      <c r="AV9" s="712">
        <f t="shared" si="28"/>
        <v>0.9999999999999999</v>
      </c>
      <c r="AW9" s="712">
        <f t="shared" si="29"/>
        <v>0.14799999999999988</v>
      </c>
      <c r="AX9" s="712">
        <f t="shared" si="30"/>
        <v>0.5199999999999999</v>
      </c>
      <c r="AY9" s="712">
        <f t="shared" si="31"/>
        <v>0.06000000000000002</v>
      </c>
      <c r="AZ9" s="712">
        <f t="shared" si="32"/>
        <v>0.1</v>
      </c>
      <c r="BA9" s="712">
        <f t="shared" si="33"/>
        <v>0.05</v>
      </c>
      <c r="BB9" s="712">
        <f t="shared" si="34"/>
        <v>0.07999999999999999</v>
      </c>
      <c r="BC9" s="712">
        <f t="shared" si="35"/>
        <v>0.041999999999999996</v>
      </c>
      <c r="BD9" s="712">
        <f t="shared" si="36"/>
        <v>0.9999999999999999</v>
      </c>
    </row>
    <row r="10" spans="1:56" ht="15">
      <c r="A10">
        <f t="shared" si="37"/>
        <v>2023</v>
      </c>
      <c r="B10" s="737">
        <f t="shared" si="6"/>
        <v>0.16099999999999987</v>
      </c>
      <c r="C10" s="734">
        <f>B10*Input!C16</f>
        <v>408336.9841487804</v>
      </c>
      <c r="D10">
        <f t="shared" si="7"/>
        <v>56.25</v>
      </c>
      <c r="E10" s="738">
        <f t="shared" si="8"/>
        <v>0.017777777777777778</v>
      </c>
      <c r="F10" s="739">
        <v>12333.027506051705</v>
      </c>
      <c r="G10">
        <v>0.9670352390996348</v>
      </c>
      <c r="I10">
        <f t="shared" si="40"/>
        <v>7</v>
      </c>
      <c r="J10" s="712">
        <v>0.8686</v>
      </c>
      <c r="K10" s="739">
        <v>12333.027506051705</v>
      </c>
      <c r="L10">
        <f t="shared" si="9"/>
        <v>2023</v>
      </c>
      <c r="M10" s="740">
        <f t="shared" si="0"/>
        <v>3736155499.5752153</v>
      </c>
      <c r="N10" s="740">
        <f t="shared" si="10"/>
        <v>32691360621.283134</v>
      </c>
      <c r="O10" s="740">
        <f t="shared" si="1"/>
        <v>161731308703.24802</v>
      </c>
      <c r="P10" s="740">
        <f t="shared" si="2"/>
        <v>18616840.40182191</v>
      </c>
      <c r="Q10" s="741">
        <f t="shared" si="11"/>
        <v>43.288163118916266</v>
      </c>
      <c r="R10" s="712">
        <f t="shared" si="3"/>
        <v>0.4413405266657419</v>
      </c>
      <c r="S10" s="712">
        <f t="shared" si="4"/>
        <v>0.5253850527135513</v>
      </c>
      <c r="T10">
        <f t="shared" si="38"/>
        <v>2023</v>
      </c>
      <c r="U10" s="734">
        <f>Input!C16</f>
        <v>2536254.5599303152</v>
      </c>
      <c r="V10" s="734">
        <f t="shared" si="5"/>
        <v>35434659.409642786</v>
      </c>
      <c r="X10">
        <f t="shared" si="39"/>
        <v>2023</v>
      </c>
      <c r="Y10" s="740">
        <f>O10+O75+O143+O208+O273+O401+O328</f>
        <v>366454696388.5292</v>
      </c>
      <c r="AA10" s="712">
        <f>B10+B75+B143+B208+B273+B328+B401</f>
        <v>0.9999999999999999</v>
      </c>
      <c r="AE10" s="740">
        <f t="shared" si="12"/>
        <v>51954316517.75436</v>
      </c>
      <c r="AG10" s="712">
        <f t="shared" si="13"/>
        <v>0.5253850527135513</v>
      </c>
      <c r="AH10" s="712">
        <f t="shared" si="14"/>
        <v>0.23678354611076358</v>
      </c>
      <c r="AI10" s="712">
        <f t="shared" si="15"/>
        <v>0.054572402182407394</v>
      </c>
      <c r="AJ10" s="712">
        <f t="shared" si="16"/>
        <v>0.05605703722486389</v>
      </c>
      <c r="AK10" s="712">
        <f t="shared" si="17"/>
        <v>0.05396447102297922</v>
      </c>
      <c r="AL10" s="712">
        <f t="shared" si="18"/>
        <v>0.028028518612431944</v>
      </c>
      <c r="AM10" s="712">
        <f t="shared" si="19"/>
        <v>0.04611941696937905</v>
      </c>
      <c r="AN10" s="712">
        <f t="shared" si="20"/>
        <v>1.0009104448363764</v>
      </c>
      <c r="AO10" s="712">
        <f t="shared" si="21"/>
        <v>0.4413405266657419</v>
      </c>
      <c r="AP10" s="712">
        <f t="shared" si="22"/>
        <v>0.2823861277405881</v>
      </c>
      <c r="AQ10" s="712">
        <f t="shared" si="23"/>
        <v>0.06464935091751911</v>
      </c>
      <c r="AR10" s="712">
        <f t="shared" si="24"/>
        <v>0.06688046092780897</v>
      </c>
      <c r="AS10" s="712">
        <f t="shared" si="25"/>
        <v>0.033440230463904486</v>
      </c>
      <c r="AT10" s="712">
        <f t="shared" si="26"/>
        <v>0.06440308025625029</v>
      </c>
      <c r="AU10" s="712">
        <f t="shared" si="27"/>
        <v>0.046900223028187145</v>
      </c>
      <c r="AV10" s="712">
        <f t="shared" si="28"/>
        <v>1</v>
      </c>
      <c r="AW10" s="712">
        <f t="shared" si="29"/>
        <v>0.16099999999999987</v>
      </c>
      <c r="AX10" s="712">
        <f t="shared" si="30"/>
        <v>0.48999999999999994</v>
      </c>
      <c r="AY10" s="712">
        <f t="shared" si="31"/>
        <v>0.07000000000000002</v>
      </c>
      <c r="AZ10" s="712">
        <f t="shared" si="32"/>
        <v>0.1</v>
      </c>
      <c r="BA10" s="712">
        <f t="shared" si="33"/>
        <v>0.05</v>
      </c>
      <c r="BB10" s="712">
        <f t="shared" si="34"/>
        <v>0.08499999999999999</v>
      </c>
      <c r="BC10" s="712">
        <f t="shared" si="35"/>
        <v>0.044</v>
      </c>
      <c r="BD10" s="712">
        <f t="shared" si="36"/>
        <v>0.9999999999999999</v>
      </c>
    </row>
    <row r="11" spans="1:56" ht="15">
      <c r="A11">
        <f t="shared" si="37"/>
        <v>2022</v>
      </c>
      <c r="B11" s="737">
        <f t="shared" si="6"/>
        <v>0.17399999999999988</v>
      </c>
      <c r="C11" s="734">
        <f>B11*Input!C17</f>
        <v>435102.0937887897</v>
      </c>
      <c r="D11">
        <f t="shared" si="7"/>
        <v>55</v>
      </c>
      <c r="E11" s="738">
        <f t="shared" si="8"/>
        <v>0.01818181818181818</v>
      </c>
      <c r="F11" s="739">
        <v>12054.670083128372</v>
      </c>
      <c r="G11">
        <v>0.9451465017803186</v>
      </c>
      <c r="I11">
        <f t="shared" si="40"/>
        <v>8</v>
      </c>
      <c r="J11" s="712">
        <v>0.8373</v>
      </c>
      <c r="K11" s="739">
        <v>12054.670083128372</v>
      </c>
      <c r="L11">
        <f t="shared" si="9"/>
        <v>2022</v>
      </c>
      <c r="M11" s="740">
        <f t="shared" si="0"/>
        <v>4153406731.824859</v>
      </c>
      <c r="N11" s="740">
        <f t="shared" si="10"/>
        <v>36342308903.467514</v>
      </c>
      <c r="O11" s="740">
        <f t="shared" si="1"/>
        <v>175942226358.66483</v>
      </c>
      <c r="P11" s="740">
        <f t="shared" si="2"/>
        <v>19762349.96057187</v>
      </c>
      <c r="Q11" s="741">
        <f t="shared" si="11"/>
        <v>42.36094312905446</v>
      </c>
      <c r="R11" s="712">
        <f t="shared" si="3"/>
        <v>0.48758759122956763</v>
      </c>
      <c r="S11" s="712">
        <f t="shared" si="4"/>
        <v>0.5663222107601984</v>
      </c>
      <c r="T11">
        <f t="shared" si="38"/>
        <v>2022</v>
      </c>
      <c r="U11" s="734">
        <f>Input!C17</f>
        <v>2500586.7459125863</v>
      </c>
      <c r="V11" s="734">
        <f t="shared" si="5"/>
        <v>34895947.19240135</v>
      </c>
      <c r="X11">
        <f t="shared" si="39"/>
        <v>2022</v>
      </c>
      <c r="Y11" s="740">
        <f>O11+O76+O144+O209+O274+O402+O329</f>
        <v>360842296898.87067</v>
      </c>
      <c r="AA11" s="712">
        <f>B11+B76+B144+B209+B274+B329+B402</f>
        <v>1</v>
      </c>
      <c r="AE11" s="740">
        <f t="shared" si="12"/>
        <v>54035455355.11347</v>
      </c>
      <c r="AG11" s="712">
        <f t="shared" si="13"/>
        <v>0.5663222107601984</v>
      </c>
      <c r="AH11" s="712">
        <f t="shared" si="14"/>
        <v>0.2103093239960501</v>
      </c>
      <c r="AI11" s="712">
        <f t="shared" si="15"/>
        <v>0.05178460712561299</v>
      </c>
      <c r="AJ11" s="712">
        <f t="shared" si="16"/>
        <v>0.05098746417048058</v>
      </c>
      <c r="AK11" s="712">
        <f t="shared" si="17"/>
        <v>0.04992755295145928</v>
      </c>
      <c r="AL11" s="712">
        <f t="shared" si="18"/>
        <v>0.02549373208524029</v>
      </c>
      <c r="AM11" s="712">
        <f t="shared" si="19"/>
        <v>0.046156668135388934</v>
      </c>
      <c r="AN11" s="712">
        <f t="shared" si="20"/>
        <v>1.0009815592244304</v>
      </c>
      <c r="AO11" s="712">
        <f t="shared" si="21"/>
        <v>0.48758759122956763</v>
      </c>
      <c r="AP11" s="712">
        <f t="shared" si="22"/>
        <v>0.25197542215146895</v>
      </c>
      <c r="AQ11" s="712">
        <f t="shared" si="23"/>
        <v>0.061774256080517</v>
      </c>
      <c r="AR11" s="712">
        <f t="shared" si="24"/>
        <v>0.061148843189373386</v>
      </c>
      <c r="AS11" s="712">
        <f t="shared" si="25"/>
        <v>0.030574421594686693</v>
      </c>
      <c r="AT11" s="712">
        <f t="shared" si="26"/>
        <v>0.05991883495704417</v>
      </c>
      <c r="AU11" s="712">
        <f t="shared" si="27"/>
        <v>0.047020630797342075</v>
      </c>
      <c r="AV11" s="712">
        <f t="shared" si="28"/>
        <v>1</v>
      </c>
      <c r="AW11" s="712">
        <f t="shared" si="29"/>
        <v>0.17399999999999988</v>
      </c>
      <c r="AX11" s="712">
        <f t="shared" si="30"/>
        <v>0.45999999999999996</v>
      </c>
      <c r="AY11" s="712">
        <f t="shared" si="31"/>
        <v>0.08000000000000002</v>
      </c>
      <c r="AZ11" s="712">
        <f t="shared" si="32"/>
        <v>0.1</v>
      </c>
      <c r="BA11" s="712">
        <f t="shared" si="33"/>
        <v>0.05</v>
      </c>
      <c r="BB11" s="712">
        <f t="shared" si="34"/>
        <v>0.09</v>
      </c>
      <c r="BC11" s="712">
        <f t="shared" si="35"/>
        <v>0.046</v>
      </c>
      <c r="BD11" s="712">
        <f t="shared" si="36"/>
        <v>1</v>
      </c>
    </row>
    <row r="12" spans="1:56" ht="15">
      <c r="A12">
        <f t="shared" si="37"/>
        <v>2021</v>
      </c>
      <c r="B12" s="737">
        <f>$B$13+(($B$3-$B$13)/($A$3-$A$13))*(ABS(A$13-A12))</f>
        <v>0.18699999999999986</v>
      </c>
      <c r="C12" s="734">
        <f>B12*Input!C18</f>
        <v>460939.84026433784</v>
      </c>
      <c r="D12">
        <f t="shared" si="7"/>
        <v>53.75</v>
      </c>
      <c r="E12" s="738">
        <f t="shared" si="8"/>
        <v>0.018604651162790697</v>
      </c>
      <c r="F12" s="739">
        <v>11697.444116737508</v>
      </c>
      <c r="G12">
        <v>0.9140046887544829</v>
      </c>
      <c r="I12">
        <f t="shared" si="40"/>
        <v>9</v>
      </c>
      <c r="J12" s="712">
        <v>0.8026</v>
      </c>
      <c r="K12" s="739">
        <v>11697.444116737508</v>
      </c>
      <c r="L12">
        <f t="shared" si="9"/>
        <v>2021</v>
      </c>
      <c r="M12" s="740">
        <f t="shared" si="0"/>
        <v>4596418413.992446</v>
      </c>
      <c r="N12" s="740">
        <f t="shared" si="10"/>
        <v>40218661122.4339</v>
      </c>
      <c r="O12" s="740">
        <f t="shared" si="1"/>
        <v>190603028835.9926</v>
      </c>
      <c r="P12" s="740">
        <f t="shared" si="2"/>
        <v>20915111.3827341</v>
      </c>
      <c r="Q12" s="741">
        <f t="shared" si="11"/>
        <v>41.46772805882025</v>
      </c>
      <c r="R12" s="712">
        <f t="shared" si="3"/>
        <v>0.5364315240636263</v>
      </c>
      <c r="S12" s="712">
        <f t="shared" si="4"/>
        <v>0.6086167625115598</v>
      </c>
      <c r="T12">
        <f t="shared" si="38"/>
        <v>2021</v>
      </c>
      <c r="U12" s="734">
        <f>Input!C18</f>
        <v>2464918.9318948565</v>
      </c>
      <c r="V12" s="734">
        <f t="shared" si="5"/>
        <v>34364993.984760396</v>
      </c>
      <c r="X12">
        <f t="shared" si="39"/>
        <v>2021</v>
      </c>
      <c r="Y12" s="740">
        <f>O12+O77+O145+O210+O275+O403+O330</f>
        <v>355316606660.47125</v>
      </c>
      <c r="AA12" s="712">
        <f>B12+B77+B145+B210+B275+B330+B403</f>
        <v>0.9999999999999999</v>
      </c>
      <c r="AE12" s="740">
        <f t="shared" si="12"/>
        <v>56321708945.83219</v>
      </c>
      <c r="AG12" s="712">
        <f t="shared" si="13"/>
        <v>0.6086167625115598</v>
      </c>
      <c r="AH12" s="712">
        <f t="shared" si="14"/>
        <v>0.1846685065312401</v>
      </c>
      <c r="AI12" s="712">
        <f t="shared" si="15"/>
        <v>0.04803462822870087</v>
      </c>
      <c r="AJ12" s="712">
        <f t="shared" si="16"/>
        <v>0.04562916954783542</v>
      </c>
      <c r="AK12" s="712">
        <f t="shared" si="17"/>
        <v>0.045270531491185685</v>
      </c>
      <c r="AL12" s="712">
        <f t="shared" si="18"/>
        <v>0.02281458477391771</v>
      </c>
      <c r="AM12" s="712">
        <f t="shared" si="19"/>
        <v>0.04603263741670241</v>
      </c>
      <c r="AN12" s="712">
        <f t="shared" si="20"/>
        <v>1.0010668205011422</v>
      </c>
      <c r="AO12" s="712">
        <f t="shared" si="21"/>
        <v>0.5364315240636263</v>
      </c>
      <c r="AP12" s="712">
        <f t="shared" si="22"/>
        <v>0.22212653332584717</v>
      </c>
      <c r="AQ12" s="712">
        <f t="shared" si="23"/>
        <v>0.05757320904879037</v>
      </c>
      <c r="AR12" s="712">
        <f t="shared" si="24"/>
        <v>0.054933295809683404</v>
      </c>
      <c r="AS12" s="712">
        <f t="shared" si="25"/>
        <v>0.027466647904841702</v>
      </c>
      <c r="AT12" s="712">
        <f t="shared" si="26"/>
        <v>0.05453440412849781</v>
      </c>
      <c r="AU12" s="712">
        <f t="shared" si="27"/>
        <v>0.04693438571871313</v>
      </c>
      <c r="AV12" s="712">
        <f t="shared" si="28"/>
        <v>0.9999999999999999</v>
      </c>
      <c r="AW12" s="712">
        <f t="shared" si="29"/>
        <v>0.18699999999999986</v>
      </c>
      <c r="AX12" s="712">
        <f t="shared" si="30"/>
        <v>0.43</v>
      </c>
      <c r="AY12" s="712">
        <f t="shared" si="31"/>
        <v>0.09000000000000001</v>
      </c>
      <c r="AZ12" s="712">
        <f t="shared" si="32"/>
        <v>0.1</v>
      </c>
      <c r="BA12" s="712">
        <f t="shared" si="33"/>
        <v>0.05</v>
      </c>
      <c r="BB12" s="712">
        <f t="shared" si="34"/>
        <v>0.095</v>
      </c>
      <c r="BC12" s="712">
        <f t="shared" si="35"/>
        <v>0.048</v>
      </c>
      <c r="BD12" s="712">
        <f t="shared" si="36"/>
        <v>0.9999999999999999</v>
      </c>
    </row>
    <row r="13" spans="1:56" ht="15">
      <c r="A13">
        <f t="shared" si="37"/>
        <v>2020</v>
      </c>
      <c r="B13" s="737">
        <f>Input!C44</f>
        <v>0.19999999999999984</v>
      </c>
      <c r="C13" s="734">
        <f>B13*Input!C19</f>
        <v>464539.65922379884</v>
      </c>
      <c r="D13">
        <f t="shared" si="7"/>
        <v>52.5</v>
      </c>
      <c r="E13" s="738">
        <f t="shared" si="8"/>
        <v>0.01904761904761905</v>
      </c>
      <c r="F13" s="739">
        <v>11247.114277674948</v>
      </c>
      <c r="G13">
        <v>0.8722542626857178</v>
      </c>
      <c r="I13">
        <f t="shared" si="40"/>
        <v>10</v>
      </c>
      <c r="J13" s="712">
        <v>0.7627</v>
      </c>
      <c r="K13" s="739">
        <v>11247.114277674948</v>
      </c>
      <c r="L13">
        <f t="shared" si="9"/>
        <v>2020</v>
      </c>
      <c r="M13" s="740">
        <f t="shared" si="0"/>
        <v>5063731100.849579</v>
      </c>
      <c r="N13" s="740">
        <f t="shared" si="10"/>
        <v>44307647132.433815</v>
      </c>
      <c r="O13" s="740">
        <f t="shared" si="1"/>
        <v>205631254858.64725</v>
      </c>
      <c r="P13" s="740">
        <f t="shared" si="2"/>
        <v>22069307.107793745</v>
      </c>
      <c r="Q13" s="741">
        <f t="shared" si="11"/>
        <v>40.60864425130059</v>
      </c>
      <c r="R13" s="712">
        <f t="shared" si="3"/>
        <v>0.5874756264075092</v>
      </c>
      <c r="S13" s="712">
        <f t="shared" si="4"/>
        <v>0.6521697495032094</v>
      </c>
      <c r="T13">
        <f t="shared" si="38"/>
        <v>2020</v>
      </c>
      <c r="U13" s="734">
        <f>Input!C19</f>
        <v>2322698.296118996</v>
      </c>
      <c r="V13" s="734">
        <f t="shared" si="5"/>
        <v>33839820.26858046</v>
      </c>
      <c r="X13">
        <f t="shared" si="39"/>
        <v>2020</v>
      </c>
      <c r="Y13" s="740">
        <f>O13+O78+O146+O211+O276+O404+O331</f>
        <v>350025168050.1359</v>
      </c>
      <c r="AA13" s="712">
        <f>B13+B78+B146+B211+B276+B331+B404</f>
        <v>0.9999999999999999</v>
      </c>
      <c r="AE13" s="740">
        <f t="shared" si="12"/>
        <v>58817130703.62036</v>
      </c>
      <c r="AG13" s="712">
        <f t="shared" si="13"/>
        <v>0.6521697495032094</v>
      </c>
      <c r="AH13" s="712">
        <f t="shared" si="14"/>
        <v>0.15997613585166004</v>
      </c>
      <c r="AI13" s="712">
        <f t="shared" si="15"/>
        <v>0.04331296951210034</v>
      </c>
      <c r="AJ13" s="712">
        <f t="shared" si="16"/>
        <v>0.03999403396291501</v>
      </c>
      <c r="AK13" s="712">
        <f t="shared" si="17"/>
        <v>0.03999403396291501</v>
      </c>
      <c r="AL13" s="712">
        <f t="shared" si="18"/>
        <v>0.019997016981457505</v>
      </c>
      <c r="AM13" s="712">
        <f t="shared" si="19"/>
        <v>0.04574244600780118</v>
      </c>
      <c r="AN13" s="712">
        <f t="shared" si="20"/>
        <v>1.0011863857820584</v>
      </c>
      <c r="AO13" s="712">
        <f t="shared" si="21"/>
        <v>0.5874756264075092</v>
      </c>
      <c r="AP13" s="712">
        <f t="shared" si="22"/>
        <v>0.19312869423590343</v>
      </c>
      <c r="AQ13" s="712">
        <f t="shared" si="23"/>
        <v>0.052055619732093855</v>
      </c>
      <c r="AR13" s="712">
        <f t="shared" si="24"/>
        <v>0.048282173558975856</v>
      </c>
      <c r="AS13" s="712">
        <f t="shared" si="25"/>
        <v>0.024141086779487928</v>
      </c>
      <c r="AT13" s="712">
        <f t="shared" si="26"/>
        <v>0.048282173558975856</v>
      </c>
      <c r="AU13" s="712">
        <f t="shared" si="27"/>
        <v>0.046634625727053895</v>
      </c>
      <c r="AV13" s="712">
        <f t="shared" si="28"/>
        <v>1</v>
      </c>
      <c r="AW13" s="712">
        <f t="shared" si="29"/>
        <v>0.19999999999999984</v>
      </c>
      <c r="AX13" s="712">
        <f t="shared" si="30"/>
        <v>0.4</v>
      </c>
      <c r="AY13" s="712">
        <f t="shared" si="31"/>
        <v>0.1</v>
      </c>
      <c r="AZ13" s="712">
        <f t="shared" si="32"/>
        <v>0.1</v>
      </c>
      <c r="BA13" s="712">
        <f t="shared" si="33"/>
        <v>0.05</v>
      </c>
      <c r="BB13" s="712">
        <f t="shared" si="34"/>
        <v>0.1</v>
      </c>
      <c r="BC13" s="712">
        <f t="shared" si="35"/>
        <v>0.05</v>
      </c>
      <c r="BD13" s="712">
        <f t="shared" si="36"/>
        <v>0.9999999999999999</v>
      </c>
    </row>
    <row r="14" spans="1:56" ht="15">
      <c r="A14">
        <f t="shared" si="37"/>
        <v>2019</v>
      </c>
      <c r="B14" s="737">
        <f aca="true" t="shared" si="41" ref="B14:B23">B$25+(ABS(A14-A$25)*($B$13-B$25)/(A$13-A$25))</f>
        <v>0.26249999999999984</v>
      </c>
      <c r="C14" s="734">
        <f>B14*Input!C20</f>
        <v>604865.1474952417</v>
      </c>
      <c r="D14">
        <f t="shared" si="7"/>
        <v>51.25</v>
      </c>
      <c r="E14" s="738">
        <f t="shared" si="8"/>
        <v>0.01951219512195122</v>
      </c>
      <c r="F14" s="739">
        <v>10692.018512904444</v>
      </c>
      <c r="G14">
        <v>0.8193146803168081</v>
      </c>
      <c r="I14">
        <f t="shared" si="40"/>
        <v>11</v>
      </c>
      <c r="J14" s="712">
        <v>0.7204</v>
      </c>
      <c r="K14" s="739">
        <v>10692.018512904444</v>
      </c>
      <c r="L14">
        <f t="shared" si="9"/>
        <v>2019</v>
      </c>
      <c r="M14" s="740">
        <f t="shared" si="0"/>
        <v>5553762303.298181</v>
      </c>
      <c r="N14" s="740">
        <f t="shared" si="10"/>
        <v>48595420153.85908</v>
      </c>
      <c r="O14" s="740">
        <f t="shared" si="1"/>
        <v>220960497933.6048</v>
      </c>
      <c r="P14" s="740">
        <f t="shared" si="2"/>
        <v>23242625.810723606</v>
      </c>
      <c r="Q14" s="741">
        <f t="shared" si="11"/>
        <v>39.78573188168033</v>
      </c>
      <c r="R14" s="712">
        <f t="shared" si="3"/>
        <v>0.6385547254831286</v>
      </c>
      <c r="S14" s="712">
        <f t="shared" si="4"/>
        <v>0.6952665010535356</v>
      </c>
      <c r="T14">
        <f t="shared" si="38"/>
        <v>2019</v>
      </c>
      <c r="U14" s="734">
        <f>Input!C20</f>
        <v>2304248.1809342555</v>
      </c>
      <c r="V14" s="734">
        <f t="shared" si="5"/>
        <v>33429808.246915553</v>
      </c>
      <c r="X14">
        <f t="shared" si="39"/>
        <v>2019</v>
      </c>
      <c r="Y14" s="740">
        <f>O14+O79+O147+O212+O277+O405+O332</f>
        <v>346032202277.45825</v>
      </c>
      <c r="AA14" s="712">
        <f>B14+B79+B147+B212+B277+B332+B405</f>
        <v>1.000333333333333</v>
      </c>
      <c r="AE14" s="740">
        <f t="shared" si="12"/>
        <v>61601423534.730156</v>
      </c>
      <c r="AG14" s="712">
        <f t="shared" si="13"/>
        <v>0.6952665010535356</v>
      </c>
      <c r="AH14" s="712">
        <f t="shared" si="14"/>
        <v>0.13722027889897737</v>
      </c>
      <c r="AI14" s="712">
        <f t="shared" si="15"/>
        <v>0.03779676950863298</v>
      </c>
      <c r="AJ14" s="712">
        <f t="shared" si="16"/>
        <v>0.034305069724744335</v>
      </c>
      <c r="AK14" s="712">
        <f t="shared" si="17"/>
        <v>0.034305069724744335</v>
      </c>
      <c r="AL14" s="712">
        <f t="shared" si="18"/>
        <v>0.017152534862372167</v>
      </c>
      <c r="AM14" s="712">
        <f t="shared" si="19"/>
        <v>0.045294568126321766</v>
      </c>
      <c r="AN14" s="712">
        <f t="shared" si="20"/>
        <v>1.0013407918993285</v>
      </c>
      <c r="AO14" s="712">
        <f t="shared" si="21"/>
        <v>0.6385547254831286</v>
      </c>
      <c r="AP14" s="712">
        <f t="shared" si="22"/>
        <v>0.16598927987806184</v>
      </c>
      <c r="AQ14" s="712">
        <f t="shared" si="23"/>
        <v>0.04556179591987199</v>
      </c>
      <c r="AR14" s="712">
        <f t="shared" si="24"/>
        <v>0.04149731996951545</v>
      </c>
      <c r="AS14" s="712">
        <f t="shared" si="25"/>
        <v>0.020748659984757726</v>
      </c>
      <c r="AT14" s="712">
        <f t="shared" si="26"/>
        <v>0.04149731996951545</v>
      </c>
      <c r="AU14" s="712">
        <f t="shared" si="27"/>
        <v>0.04615089879514898</v>
      </c>
      <c r="AV14" s="712">
        <f t="shared" si="28"/>
        <v>1</v>
      </c>
      <c r="AW14" s="712">
        <f t="shared" si="29"/>
        <v>0.26249999999999984</v>
      </c>
      <c r="AX14" s="712">
        <f t="shared" si="30"/>
        <v>0.3666666666666667</v>
      </c>
      <c r="AY14" s="712">
        <f t="shared" si="31"/>
        <v>0.0925</v>
      </c>
      <c r="AZ14" s="712">
        <f t="shared" si="32"/>
        <v>0.09166666666666666</v>
      </c>
      <c r="BA14" s="712">
        <f t="shared" si="33"/>
        <v>0.04583333333333333</v>
      </c>
      <c r="BB14" s="712">
        <f t="shared" si="34"/>
        <v>0.09166666666666666</v>
      </c>
      <c r="BC14" s="712">
        <f t="shared" si="35"/>
        <v>0.04950000000000001</v>
      </c>
      <c r="BD14" s="712">
        <f t="shared" si="36"/>
        <v>1.0003333333333333</v>
      </c>
    </row>
    <row r="15" spans="1:56" ht="15">
      <c r="A15">
        <f t="shared" si="37"/>
        <v>2018</v>
      </c>
      <c r="B15" s="737">
        <f t="shared" si="41"/>
        <v>0.32499999999999984</v>
      </c>
      <c r="C15" s="734">
        <f>B15*Input!C21</f>
        <v>741040.9537414283</v>
      </c>
      <c r="D15">
        <f t="shared" si="7"/>
        <v>50</v>
      </c>
      <c r="E15" s="738">
        <f t="shared" si="8"/>
        <v>0.02</v>
      </c>
      <c r="F15" s="739">
        <v>10026.412479945611</v>
      </c>
      <c r="G15">
        <v>0.7556398451794555</v>
      </c>
      <c r="I15">
        <f t="shared" si="40"/>
        <v>12</v>
      </c>
      <c r="J15" s="712">
        <v>0.6744</v>
      </c>
      <c r="K15" s="739">
        <v>10026.412479945611</v>
      </c>
      <c r="L15">
        <f t="shared" si="9"/>
        <v>2018</v>
      </c>
      <c r="M15" s="740">
        <f t="shared" si="0"/>
        <v>6032774516.573727</v>
      </c>
      <c r="N15" s="740">
        <f t="shared" si="10"/>
        <v>52786777020.02011</v>
      </c>
      <c r="O15" s="740">
        <f t="shared" si="1"/>
        <v>234879999794.8979</v>
      </c>
      <c r="P15" s="740">
        <f t="shared" si="2"/>
        <v>24291851.807312675</v>
      </c>
      <c r="Q15" s="741">
        <f t="shared" si="11"/>
        <v>38.93399283358205</v>
      </c>
      <c r="R15" s="712">
        <f t="shared" si="3"/>
        <v>0.6869739644744857</v>
      </c>
      <c r="S15" s="712">
        <f t="shared" si="4"/>
        <v>0.7358748780917762</v>
      </c>
      <c r="T15">
        <f t="shared" si="38"/>
        <v>2018</v>
      </c>
      <c r="U15" s="734">
        <f>Input!C21</f>
        <v>2280126.011512088</v>
      </c>
      <c r="V15" s="734">
        <f t="shared" si="5"/>
        <v>33010845.363147546</v>
      </c>
      <c r="X15">
        <f t="shared" si="39"/>
        <v>2018</v>
      </c>
      <c r="Y15" s="740">
        <f>O15+O80+O148+O213+O278+O406+O333</f>
        <v>341905242325.41187</v>
      </c>
      <c r="AA15" s="712">
        <f>B15+B80+B148+B213+B278+B333+B406</f>
        <v>1.0006666666666666</v>
      </c>
      <c r="AE15" s="740">
        <f t="shared" si="12"/>
        <v>64387927158.70487</v>
      </c>
      <c r="AG15" s="712">
        <f t="shared" si="13"/>
        <v>0.7358748780917762</v>
      </c>
      <c r="AH15" s="712">
        <f t="shared" si="14"/>
        <v>0.11584332368624667</v>
      </c>
      <c r="AI15" s="712">
        <f t="shared" si="15"/>
        <v>0.03255784732264663</v>
      </c>
      <c r="AJ15" s="712">
        <f t="shared" si="16"/>
        <v>0.028960830921561664</v>
      </c>
      <c r="AK15" s="712">
        <f t="shared" si="17"/>
        <v>0.028960830921561664</v>
      </c>
      <c r="AL15" s="712">
        <f t="shared" si="18"/>
        <v>0.014480415460780832</v>
      </c>
      <c r="AM15" s="712">
        <f t="shared" si="19"/>
        <v>0.04485367708379833</v>
      </c>
      <c r="AN15" s="712">
        <f t="shared" si="20"/>
        <v>1.001531803488372</v>
      </c>
      <c r="AO15" s="712">
        <f t="shared" si="21"/>
        <v>0.6869739644744857</v>
      </c>
      <c r="AP15" s="712">
        <f t="shared" si="22"/>
        <v>0.14031804463831923</v>
      </c>
      <c r="AQ15" s="712">
        <f t="shared" si="23"/>
        <v>0.03933967706816715</v>
      </c>
      <c r="AR15" s="712">
        <f t="shared" si="24"/>
        <v>0.03507951115957981</v>
      </c>
      <c r="AS15" s="712">
        <f t="shared" si="25"/>
        <v>0.017539755579789904</v>
      </c>
      <c r="AT15" s="712">
        <f t="shared" si="26"/>
        <v>0.03507951115957981</v>
      </c>
      <c r="AU15" s="712">
        <f t="shared" si="27"/>
        <v>0.04566953592007876</v>
      </c>
      <c r="AV15" s="712">
        <f t="shared" si="28"/>
        <v>1.0000000000000004</v>
      </c>
      <c r="AW15" s="712">
        <f t="shared" si="29"/>
        <v>0.32499999999999984</v>
      </c>
      <c r="AX15" s="712">
        <f t="shared" si="30"/>
        <v>0.3333333333333333</v>
      </c>
      <c r="AY15" s="712">
        <f t="shared" si="31"/>
        <v>0.085</v>
      </c>
      <c r="AZ15" s="712">
        <f t="shared" si="32"/>
        <v>0.08333333333333333</v>
      </c>
      <c r="BA15" s="712">
        <f t="shared" si="33"/>
        <v>0.041666666666666664</v>
      </c>
      <c r="BB15" s="712">
        <f t="shared" si="34"/>
        <v>0.08333333333333333</v>
      </c>
      <c r="BC15" s="712">
        <f t="shared" si="35"/>
        <v>0.04900000000000001</v>
      </c>
      <c r="BD15" s="712">
        <f t="shared" si="36"/>
        <v>1.0006666666666666</v>
      </c>
    </row>
    <row r="16" spans="1:56" ht="15">
      <c r="A16">
        <f t="shared" si="37"/>
        <v>2017</v>
      </c>
      <c r="B16" s="737">
        <f t="shared" si="41"/>
        <v>0.38749999999999984</v>
      </c>
      <c r="C16" s="734">
        <f>B16*Input!C22</f>
        <v>874299.342043145</v>
      </c>
      <c r="D16">
        <f t="shared" si="7"/>
        <v>48.75</v>
      </c>
      <c r="E16" s="738">
        <f t="shared" si="8"/>
        <v>0.020512820512820513</v>
      </c>
      <c r="F16" s="739">
        <v>9254.210083266022</v>
      </c>
      <c r="G16">
        <v>0.6828195782412335</v>
      </c>
      <c r="I16">
        <f t="shared" si="40"/>
        <v>13</v>
      </c>
      <c r="J16" s="712">
        <v>0.6194</v>
      </c>
      <c r="K16" s="739">
        <v>9254.210083266022</v>
      </c>
      <c r="L16">
        <f t="shared" si="9"/>
        <v>2017</v>
      </c>
      <c r="M16" s="740">
        <f t="shared" si="0"/>
        <v>6496551810.392219</v>
      </c>
      <c r="N16" s="740">
        <f t="shared" si="10"/>
        <v>56844828340.931915</v>
      </c>
      <c r="O16" s="740">
        <f t="shared" si="1"/>
        <v>247297051673.6313</v>
      </c>
      <c r="P16" s="740">
        <f t="shared" si="2"/>
        <v>25213975.119493995</v>
      </c>
      <c r="Q16" s="741">
        <f t="shared" si="11"/>
        <v>38.0658938605003</v>
      </c>
      <c r="R16" s="712">
        <f t="shared" si="3"/>
        <v>0.7323188233486532</v>
      </c>
      <c r="S16" s="712">
        <f t="shared" si="4"/>
        <v>0.7737254154912622</v>
      </c>
      <c r="T16">
        <f t="shared" si="38"/>
        <v>2017</v>
      </c>
      <c r="U16" s="734">
        <f>Input!C22</f>
        <v>2256256.3665629555</v>
      </c>
      <c r="V16" s="734">
        <f t="shared" si="5"/>
        <v>32587756.088488918</v>
      </c>
      <c r="X16">
        <f t="shared" si="39"/>
        <v>2017</v>
      </c>
      <c r="Y16" s="740">
        <f>O16+O81+O149+O214+O279+O407+O334</f>
        <v>337690420878.19507</v>
      </c>
      <c r="AA16" s="712">
        <f>B16+B81+B149+B214+B279+B334+B407</f>
        <v>1.0009999999999997</v>
      </c>
      <c r="AE16" s="740">
        <f t="shared" si="12"/>
        <v>67152426041.6009</v>
      </c>
      <c r="AG16" s="712">
        <f t="shared" si="13"/>
        <v>0.7737254154912622</v>
      </c>
      <c r="AH16" s="712">
        <f t="shared" si="14"/>
        <v>0.0959879877064395</v>
      </c>
      <c r="AI16" s="712">
        <f t="shared" si="15"/>
        <v>0.027630166743541205</v>
      </c>
      <c r="AJ16" s="712">
        <f t="shared" si="16"/>
        <v>0.023996996926609872</v>
      </c>
      <c r="AK16" s="712">
        <f t="shared" si="17"/>
        <v>0.023996996926609872</v>
      </c>
      <c r="AL16" s="712">
        <f t="shared" si="18"/>
        <v>0.011998498463304936</v>
      </c>
      <c r="AM16" s="712">
        <f t="shared" si="19"/>
        <v>0.044421734209409626</v>
      </c>
      <c r="AN16" s="712">
        <f t="shared" si="20"/>
        <v>1.001757796467177</v>
      </c>
      <c r="AO16" s="712">
        <f t="shared" si="21"/>
        <v>0.7323188233486532</v>
      </c>
      <c r="AP16" s="712">
        <f t="shared" si="22"/>
        <v>0.11633691776444058</v>
      </c>
      <c r="AQ16" s="712">
        <f t="shared" si="23"/>
        <v>0.033442003850125544</v>
      </c>
      <c r="AR16" s="712">
        <f t="shared" si="24"/>
        <v>0.029084229441110145</v>
      </c>
      <c r="AS16" s="712">
        <f t="shared" si="25"/>
        <v>0.014542114720555072</v>
      </c>
      <c r="AT16" s="712">
        <f t="shared" si="26"/>
        <v>0.029084229441110145</v>
      </c>
      <c r="AU16" s="712">
        <f t="shared" si="27"/>
        <v>0.04519168143400526</v>
      </c>
      <c r="AV16" s="712">
        <f t="shared" si="28"/>
        <v>0.9999999999999998</v>
      </c>
      <c r="AW16" s="712">
        <f t="shared" si="29"/>
        <v>0.38749999999999984</v>
      </c>
      <c r="AX16" s="712">
        <f t="shared" si="30"/>
        <v>0.3</v>
      </c>
      <c r="AY16" s="712">
        <f t="shared" si="31"/>
        <v>0.0775</v>
      </c>
      <c r="AZ16" s="712">
        <f t="shared" si="32"/>
        <v>0.075</v>
      </c>
      <c r="BA16" s="712">
        <f t="shared" si="33"/>
        <v>0.0375</v>
      </c>
      <c r="BB16" s="712">
        <f t="shared" si="34"/>
        <v>0.075</v>
      </c>
      <c r="BC16" s="712">
        <f t="shared" si="35"/>
        <v>0.04850000000000001</v>
      </c>
      <c r="BD16" s="712">
        <f t="shared" si="36"/>
        <v>1.0009999999999997</v>
      </c>
    </row>
    <row r="17" spans="1:56" ht="15">
      <c r="A17">
        <f t="shared" si="37"/>
        <v>2016</v>
      </c>
      <c r="B17" s="737">
        <f t="shared" si="41"/>
        <v>0.44999999999999984</v>
      </c>
      <c r="C17" s="734">
        <f>B17*Input!C23</f>
        <v>1004686.4711332187</v>
      </c>
      <c r="D17">
        <f t="shared" si="7"/>
        <v>47.5</v>
      </c>
      <c r="E17" s="738">
        <f t="shared" si="8"/>
        <v>0.021052631578947368</v>
      </c>
      <c r="F17" s="739">
        <v>8391.912601586955</v>
      </c>
      <c r="G17">
        <v>0.6034746699096283</v>
      </c>
      <c r="I17">
        <f t="shared" si="40"/>
        <v>14</v>
      </c>
      <c r="J17" s="712">
        <v>0.5655</v>
      </c>
      <c r="K17" s="739">
        <v>8391.912601586955</v>
      </c>
      <c r="L17">
        <f t="shared" si="9"/>
        <v>2016</v>
      </c>
      <c r="M17" s="740">
        <f t="shared" si="0"/>
        <v>6939842677.71257</v>
      </c>
      <c r="N17" s="740">
        <f t="shared" si="10"/>
        <v>60723623429.984985</v>
      </c>
      <c r="O17" s="740">
        <f t="shared" si="1"/>
        <v>258103669290.10513</v>
      </c>
      <c r="P17" s="740">
        <f t="shared" si="2"/>
        <v>26004083.25973087</v>
      </c>
      <c r="Q17" s="741">
        <f t="shared" si="11"/>
        <v>37.191573537972225</v>
      </c>
      <c r="R17" s="712">
        <f t="shared" si="3"/>
        <v>0.7742637970907309</v>
      </c>
      <c r="S17" s="712">
        <f t="shared" si="4"/>
        <v>0.8086250753201132</v>
      </c>
      <c r="T17">
        <f t="shared" si="38"/>
        <v>2016</v>
      </c>
      <c r="U17" s="734">
        <f>Input!C23</f>
        <v>2232636.6025182647</v>
      </c>
      <c r="V17" s="734">
        <f t="shared" si="5"/>
        <v>32158393.36844278</v>
      </c>
      <c r="X17">
        <f t="shared" si="39"/>
        <v>2016</v>
      </c>
      <c r="Y17" s="740">
        <f>O17+O82+O150+O215+O280+O408+O335</f>
        <v>333353658352.5158</v>
      </c>
      <c r="AA17" s="712">
        <f>B17+B82+B150+B215+B280+B335+B408</f>
        <v>1.0013333333333334</v>
      </c>
      <c r="AE17" s="740">
        <f t="shared" si="12"/>
        <v>69856095648.936</v>
      </c>
      <c r="AG17" s="712">
        <f t="shared" si="13"/>
        <v>0.8086250753201132</v>
      </c>
      <c r="AH17" s="712">
        <f t="shared" si="14"/>
        <v>0.0777547562129194</v>
      </c>
      <c r="AI17" s="712">
        <f t="shared" si="15"/>
        <v>0.023037048372356265</v>
      </c>
      <c r="AJ17" s="712">
        <f t="shared" si="16"/>
        <v>0.01943868905322985</v>
      </c>
      <c r="AK17" s="712">
        <f t="shared" si="17"/>
        <v>0.01943868905322985</v>
      </c>
      <c r="AL17" s="712">
        <f t="shared" si="18"/>
        <v>0.009719344526614925</v>
      </c>
      <c r="AM17" s="712">
        <f t="shared" si="19"/>
        <v>0.04400028195930171</v>
      </c>
      <c r="AN17" s="712">
        <f t="shared" si="20"/>
        <v>1.0020138844977653</v>
      </c>
      <c r="AO17" s="712">
        <f t="shared" si="21"/>
        <v>0.7742637970907309</v>
      </c>
      <c r="AP17" s="712">
        <f t="shared" si="22"/>
        <v>0.09421976457007235</v>
      </c>
      <c r="AQ17" s="712">
        <f t="shared" si="23"/>
        <v>0.02791056687730129</v>
      </c>
      <c r="AR17" s="712">
        <f t="shared" si="24"/>
        <v>0.023554941142518087</v>
      </c>
      <c r="AS17" s="712">
        <f t="shared" si="25"/>
        <v>0.011777470571259043</v>
      </c>
      <c r="AT17" s="712">
        <f t="shared" si="26"/>
        <v>0.023554941142518087</v>
      </c>
      <c r="AU17" s="712">
        <f t="shared" si="27"/>
        <v>0.044718518605600215</v>
      </c>
      <c r="AV17" s="712">
        <f t="shared" si="28"/>
        <v>0.9999999999999999</v>
      </c>
      <c r="AW17" s="712">
        <f t="shared" si="29"/>
        <v>0.44999999999999984</v>
      </c>
      <c r="AX17" s="712">
        <f t="shared" si="30"/>
        <v>0.26666666666666666</v>
      </c>
      <c r="AY17" s="712">
        <f t="shared" si="31"/>
        <v>0.07</v>
      </c>
      <c r="AZ17" s="712">
        <f t="shared" si="32"/>
        <v>0.06666666666666667</v>
      </c>
      <c r="BA17" s="712">
        <f t="shared" si="33"/>
        <v>0.03333333333333333</v>
      </c>
      <c r="BB17" s="712">
        <f t="shared" si="34"/>
        <v>0.06666666666666667</v>
      </c>
      <c r="BC17" s="712">
        <f t="shared" si="35"/>
        <v>0.04800000000000001</v>
      </c>
      <c r="BD17" s="712">
        <f t="shared" si="36"/>
        <v>1.0013333333333332</v>
      </c>
    </row>
    <row r="18" spans="1:56" ht="15">
      <c r="A18">
        <f t="shared" si="37"/>
        <v>2015</v>
      </c>
      <c r="B18" s="737">
        <f t="shared" si="41"/>
        <v>0.5125</v>
      </c>
      <c r="C18" s="734">
        <f>B18*Input!C24</f>
        <v>1132247.8530354416</v>
      </c>
      <c r="D18">
        <f t="shared" si="7"/>
        <v>46.25</v>
      </c>
      <c r="E18" s="738">
        <f t="shared" si="8"/>
        <v>0.021621621621621623</v>
      </c>
      <c r="F18" s="739">
        <v>7469.127784907404</v>
      </c>
      <c r="G18">
        <v>0.5209503438160039</v>
      </c>
      <c r="I18">
        <f t="shared" si="40"/>
        <v>15</v>
      </c>
      <c r="J18" s="712">
        <v>0.5058</v>
      </c>
      <c r="K18" s="739">
        <v>7469.127784907404</v>
      </c>
      <c r="L18">
        <f t="shared" si="9"/>
        <v>2015</v>
      </c>
      <c r="M18" s="740">
        <f t="shared" si="0"/>
        <v>7357243308.819784</v>
      </c>
      <c r="N18" s="740">
        <f t="shared" si="10"/>
        <v>64375878952.17311</v>
      </c>
      <c r="O18" s="740">
        <f t="shared" si="1"/>
        <v>267212039688.7888</v>
      </c>
      <c r="P18" s="740">
        <f t="shared" si="2"/>
        <v>26659767.48099622</v>
      </c>
      <c r="Q18" s="741">
        <f t="shared" si="11"/>
        <v>36.31958717043622</v>
      </c>
      <c r="R18" s="712">
        <f t="shared" si="3"/>
        <v>0.8125220261491156</v>
      </c>
      <c r="S18" s="712">
        <f t="shared" si="4"/>
        <v>0.8404075913247733</v>
      </c>
      <c r="T18">
        <f t="shared" si="38"/>
        <v>2015</v>
      </c>
      <c r="U18" s="734">
        <f>Input!C24</f>
        <v>2209264.1034837887</v>
      </c>
      <c r="V18" s="734">
        <f t="shared" si="5"/>
        <v>31722425.82789049</v>
      </c>
      <c r="X18">
        <f t="shared" si="39"/>
        <v>2015</v>
      </c>
      <c r="Y18" s="740">
        <f>O18+O83+O151+O216+O281+O409+O336</f>
        <v>328867441237.5247</v>
      </c>
      <c r="AA18" s="712">
        <f>B18+B83+B151+B216+B281+B336+B409</f>
        <v>1.0016666666666667</v>
      </c>
      <c r="AE18" s="740">
        <f t="shared" si="12"/>
        <v>72458140406.3293</v>
      </c>
      <c r="AG18" s="712">
        <f t="shared" si="13"/>
        <v>0.8404075913247733</v>
      </c>
      <c r="AH18" s="712">
        <f t="shared" si="14"/>
        <v>0.0612305936166903</v>
      </c>
      <c r="AI18" s="712">
        <f t="shared" si="15"/>
        <v>0.01880011890089726</v>
      </c>
      <c r="AJ18" s="712">
        <f t="shared" si="16"/>
        <v>0.015307648404172572</v>
      </c>
      <c r="AK18" s="712">
        <f t="shared" si="17"/>
        <v>0.015307648404172572</v>
      </c>
      <c r="AL18" s="712">
        <f t="shared" si="18"/>
        <v>0.007653824202086286</v>
      </c>
      <c r="AM18" s="712">
        <f t="shared" si="19"/>
        <v>0.0435908913437107</v>
      </c>
      <c r="AN18" s="712">
        <f t="shared" si="20"/>
        <v>1.002298316196503</v>
      </c>
      <c r="AO18" s="712">
        <f t="shared" si="21"/>
        <v>0.8125220261491156</v>
      </c>
      <c r="AP18" s="712">
        <f t="shared" si="22"/>
        <v>0.07411824731219778</v>
      </c>
      <c r="AQ18" s="712">
        <f t="shared" si="23"/>
        <v>0.02278423106448072</v>
      </c>
      <c r="AR18" s="712">
        <f t="shared" si="24"/>
        <v>0.01852956182804944</v>
      </c>
      <c r="AS18" s="712">
        <f t="shared" si="25"/>
        <v>0.00926478091402472</v>
      </c>
      <c r="AT18" s="712">
        <f t="shared" si="26"/>
        <v>0.01852956182804944</v>
      </c>
      <c r="AU18" s="712">
        <f t="shared" si="27"/>
        <v>0.044251590904082296</v>
      </c>
      <c r="AV18" s="712">
        <f t="shared" si="28"/>
        <v>0.9999999999999999</v>
      </c>
      <c r="AW18" s="712">
        <f t="shared" si="29"/>
        <v>0.5125</v>
      </c>
      <c r="AX18" s="712">
        <f t="shared" si="30"/>
        <v>0.23333333333333336</v>
      </c>
      <c r="AY18" s="712">
        <f t="shared" si="31"/>
        <v>0.06250000000000001</v>
      </c>
      <c r="AZ18" s="712">
        <f t="shared" si="32"/>
        <v>0.05833333333333333</v>
      </c>
      <c r="BA18" s="712">
        <f t="shared" si="33"/>
        <v>0.029166666666666664</v>
      </c>
      <c r="BB18" s="712">
        <f t="shared" si="34"/>
        <v>0.05833333333333333</v>
      </c>
      <c r="BC18" s="712">
        <f t="shared" si="35"/>
        <v>0.04750000000000001</v>
      </c>
      <c r="BD18" s="712">
        <f t="shared" si="36"/>
        <v>1.0016666666666667</v>
      </c>
    </row>
    <row r="19" spans="1:56" ht="15">
      <c r="A19">
        <f t="shared" si="37"/>
        <v>2014</v>
      </c>
      <c r="B19" s="737">
        <f t="shared" si="41"/>
        <v>0.575</v>
      </c>
      <c r="C19" s="734">
        <f>B19*Input!C25</f>
        <v>1257028.3615462258</v>
      </c>
      <c r="D19">
        <f t="shared" si="7"/>
        <v>45</v>
      </c>
      <c r="E19" s="738">
        <f t="shared" si="8"/>
        <v>0.022222222222222223</v>
      </c>
      <c r="F19" s="739">
        <v>6525.515324308313</v>
      </c>
      <c r="G19">
        <v>0.43887044110994594</v>
      </c>
      <c r="I19">
        <f t="shared" si="40"/>
        <v>16</v>
      </c>
      <c r="J19" s="712">
        <v>0.4426</v>
      </c>
      <c r="K19" s="739">
        <v>6525.515324308313</v>
      </c>
      <c r="L19">
        <f t="shared" si="9"/>
        <v>2014</v>
      </c>
      <c r="M19" s="740">
        <f t="shared" si="0"/>
        <v>7744187568.3824415</v>
      </c>
      <c r="N19" s="740">
        <f t="shared" si="10"/>
        <v>67761641223.34637</v>
      </c>
      <c r="O19" s="740">
        <f t="shared" si="1"/>
        <v>274581126911.98264</v>
      </c>
      <c r="P19" s="740">
        <f t="shared" si="2"/>
        <v>27182645.9547505</v>
      </c>
      <c r="Q19" s="741">
        <f t="shared" si="11"/>
        <v>35.45641482562069</v>
      </c>
      <c r="R19" s="712">
        <f t="shared" si="3"/>
        <v>0.846844965582668</v>
      </c>
      <c r="S19" s="712">
        <f t="shared" si="4"/>
        <v>0.8689207555405193</v>
      </c>
      <c r="T19">
        <f t="shared" si="38"/>
        <v>2014</v>
      </c>
      <c r="U19" s="734">
        <f>Input!C25</f>
        <v>2186136.280949958</v>
      </c>
      <c r="V19" s="734">
        <f t="shared" si="5"/>
        <v>31283227.821898803</v>
      </c>
      <c r="X19">
        <f t="shared" si="39"/>
        <v>2014</v>
      </c>
      <c r="Y19" s="740">
        <f>O19+O84+O152+O217+O282+O410+O337</f>
        <v>324240136118.7266</v>
      </c>
      <c r="AA19" s="712">
        <f>B19+B84+B152+B217+B282+B337+B410</f>
        <v>1.0020000000000002</v>
      </c>
      <c r="AE19" s="740">
        <f t="shared" si="12"/>
        <v>74924204161.70946</v>
      </c>
      <c r="AG19" s="712">
        <f t="shared" si="13"/>
        <v>0.8689207555405193</v>
      </c>
      <c r="AH19" s="712">
        <f t="shared" si="14"/>
        <v>0.04649489405866211</v>
      </c>
      <c r="AI19" s="712">
        <f t="shared" si="15"/>
        <v>0.014937633724686676</v>
      </c>
      <c r="AJ19" s="712">
        <f t="shared" si="16"/>
        <v>0.011623723514665526</v>
      </c>
      <c r="AK19" s="712">
        <f t="shared" si="17"/>
        <v>0.011623723514665526</v>
      </c>
      <c r="AL19" s="712">
        <f t="shared" si="18"/>
        <v>0.005811861757332763</v>
      </c>
      <c r="AM19" s="712">
        <f t="shared" si="19"/>
        <v>0.0431949761807959</v>
      </c>
      <c r="AN19" s="712">
        <f t="shared" si="20"/>
        <v>1.0026075682913278</v>
      </c>
      <c r="AO19" s="712">
        <f t="shared" si="21"/>
        <v>0.846844965582668</v>
      </c>
      <c r="AP19" s="712">
        <f t="shared" si="22"/>
        <v>0.056164190943059224</v>
      </c>
      <c r="AQ19" s="712">
        <f t="shared" si="23"/>
        <v>0.018095451987899514</v>
      </c>
      <c r="AR19" s="712">
        <f t="shared" si="24"/>
        <v>0.014041047735764802</v>
      </c>
      <c r="AS19" s="712">
        <f t="shared" si="25"/>
        <v>0.007020523867882401</v>
      </c>
      <c r="AT19" s="712">
        <f t="shared" si="26"/>
        <v>0.014041047735764802</v>
      </c>
      <c r="AU19" s="712">
        <f t="shared" si="27"/>
        <v>0.04379277214696114</v>
      </c>
      <c r="AV19" s="712">
        <f t="shared" si="28"/>
        <v>0.9999999999999998</v>
      </c>
      <c r="AW19" s="712">
        <f t="shared" si="29"/>
        <v>0.575</v>
      </c>
      <c r="AX19" s="712">
        <f t="shared" si="30"/>
        <v>0.20000000000000004</v>
      </c>
      <c r="AY19" s="712">
        <f t="shared" si="31"/>
        <v>0.05500000000000001</v>
      </c>
      <c r="AZ19" s="712">
        <f t="shared" si="32"/>
        <v>0.049999999999999996</v>
      </c>
      <c r="BA19" s="712">
        <f t="shared" si="33"/>
        <v>0.024999999999999998</v>
      </c>
      <c r="BB19" s="712">
        <f t="shared" si="34"/>
        <v>0.049999999999999996</v>
      </c>
      <c r="BC19" s="712">
        <f t="shared" si="35"/>
        <v>0.04700000000000001</v>
      </c>
      <c r="BD19" s="712">
        <f t="shared" si="36"/>
        <v>1.0020000000000002</v>
      </c>
    </row>
    <row r="20" spans="1:56" ht="15">
      <c r="A20">
        <f t="shared" si="37"/>
        <v>2013</v>
      </c>
      <c r="B20" s="737">
        <f t="shared" si="41"/>
        <v>0.6375</v>
      </c>
      <c r="C20" s="734">
        <f>B20*Input!C26</f>
        <v>1379072.240609553</v>
      </c>
      <c r="D20">
        <f t="shared" si="7"/>
        <v>43.75</v>
      </c>
      <c r="E20" s="738">
        <f t="shared" si="8"/>
        <v>0.022857142857142857</v>
      </c>
      <c r="F20" s="739">
        <v>5604.427092706827</v>
      </c>
      <c r="G20">
        <v>0.3606541686113341</v>
      </c>
      <c r="I20">
        <f t="shared" si="40"/>
        <v>17</v>
      </c>
      <c r="J20" s="712">
        <v>0.3822</v>
      </c>
      <c r="K20" s="739">
        <v>5604.427092706827</v>
      </c>
      <c r="L20">
        <f t="shared" si="9"/>
        <v>2013</v>
      </c>
      <c r="M20" s="740">
        <f t="shared" si="0"/>
        <v>8096002640.123388</v>
      </c>
      <c r="N20" s="740">
        <f t="shared" si="10"/>
        <v>70840023101.07965</v>
      </c>
      <c r="O20" s="740">
        <f t="shared" si="1"/>
        <v>280183510146.91626</v>
      </c>
      <c r="P20" s="740">
        <f t="shared" si="2"/>
        <v>27573820.207014617</v>
      </c>
      <c r="Q20" s="741">
        <f t="shared" si="11"/>
        <v>34.60763571868673</v>
      </c>
      <c r="R20" s="712">
        <f t="shared" si="3"/>
        <v>0.8770033596417778</v>
      </c>
      <c r="S20" s="712">
        <f t="shared" si="4"/>
        <v>0.8940197040848009</v>
      </c>
      <c r="T20">
        <f t="shared" si="38"/>
        <v>2013</v>
      </c>
      <c r="U20" s="734">
        <f>Input!C26</f>
        <v>2163250.5735051814</v>
      </c>
      <c r="V20" s="734">
        <f t="shared" si="5"/>
        <v>30842519.55636891</v>
      </c>
      <c r="X20">
        <f t="shared" si="39"/>
        <v>2013</v>
      </c>
      <c r="Y20" s="740">
        <f>O20+O85+O153+O218+O283+O411+O338</f>
        <v>319478263186.3126</v>
      </c>
      <c r="AA20" s="712">
        <f>B20+B85+B153+B218+B283+B338+B411</f>
        <v>1.0023333333333333</v>
      </c>
      <c r="AE20" s="740">
        <f t="shared" si="12"/>
        <v>77217269535.29102</v>
      </c>
      <c r="AG20" s="712">
        <f t="shared" si="13"/>
        <v>0.8940197040848009</v>
      </c>
      <c r="AH20" s="712">
        <f t="shared" si="14"/>
        <v>0.03362697018121915</v>
      </c>
      <c r="AI20" s="712">
        <f t="shared" si="15"/>
        <v>0.011470074649221312</v>
      </c>
      <c r="AJ20" s="712">
        <f t="shared" si="16"/>
        <v>0.008406742545304787</v>
      </c>
      <c r="AK20" s="712">
        <f t="shared" si="17"/>
        <v>0.008406742545304787</v>
      </c>
      <c r="AL20" s="712">
        <f t="shared" si="18"/>
        <v>0.004203371272652394</v>
      </c>
      <c r="AM20" s="712">
        <f t="shared" si="19"/>
        <v>0.042814124397371554</v>
      </c>
      <c r="AN20" s="712">
        <f t="shared" si="20"/>
        <v>1.002947729675875</v>
      </c>
      <c r="AO20" s="712">
        <f t="shared" si="21"/>
        <v>0.8770033596417778</v>
      </c>
      <c r="AP20" s="712">
        <f t="shared" si="22"/>
        <v>0.040477852003189214</v>
      </c>
      <c r="AQ20" s="712">
        <f t="shared" si="23"/>
        <v>0.01387618980165775</v>
      </c>
      <c r="AR20" s="712">
        <f t="shared" si="24"/>
        <v>0.010119463000797304</v>
      </c>
      <c r="AS20" s="712">
        <f t="shared" si="25"/>
        <v>0.005059731500398652</v>
      </c>
      <c r="AT20" s="712">
        <f t="shared" si="26"/>
        <v>0.010119463000797304</v>
      </c>
      <c r="AU20" s="712">
        <f t="shared" si="27"/>
        <v>0.04334394105138204</v>
      </c>
      <c r="AV20" s="712">
        <f t="shared" si="28"/>
        <v>1</v>
      </c>
      <c r="AW20" s="712">
        <f t="shared" si="29"/>
        <v>0.6375</v>
      </c>
      <c r="AX20" s="712">
        <f t="shared" si="30"/>
        <v>0.16666666666666666</v>
      </c>
      <c r="AY20" s="712">
        <f t="shared" si="31"/>
        <v>0.04750000000000001</v>
      </c>
      <c r="AZ20" s="712">
        <f t="shared" si="32"/>
        <v>0.041666666666666664</v>
      </c>
      <c r="BA20" s="712">
        <f t="shared" si="33"/>
        <v>0.020833333333333332</v>
      </c>
      <c r="BB20" s="712">
        <f t="shared" si="34"/>
        <v>0.041666666666666664</v>
      </c>
      <c r="BC20" s="712">
        <f t="shared" si="35"/>
        <v>0.04650000000000001</v>
      </c>
      <c r="BD20" s="712">
        <f t="shared" si="36"/>
        <v>1.0023333333333333</v>
      </c>
    </row>
    <row r="21" spans="1:56" ht="15">
      <c r="A21">
        <f t="shared" si="37"/>
        <v>2012</v>
      </c>
      <c r="B21" s="737">
        <f t="shared" si="41"/>
        <v>0.7</v>
      </c>
      <c r="C21" s="734">
        <f>B21*Input!C27</f>
        <v>1498423.1125865157</v>
      </c>
      <c r="D21">
        <f t="shared" si="7"/>
        <v>42.5</v>
      </c>
      <c r="E21" s="738">
        <f t="shared" si="8"/>
        <v>0.023529411764705882</v>
      </c>
      <c r="F21" s="739">
        <v>4745.227219507466</v>
      </c>
      <c r="G21">
        <v>0.28910338670223557</v>
      </c>
      <c r="I21">
        <f t="shared" si="40"/>
        <v>18</v>
      </c>
      <c r="J21" s="712">
        <v>0.3326</v>
      </c>
      <c r="K21" s="739">
        <v>4745.227219507466</v>
      </c>
      <c r="L21">
        <f t="shared" si="9"/>
        <v>2012</v>
      </c>
      <c r="M21" s="740">
        <f t="shared" si="0"/>
        <v>8407915673.341105</v>
      </c>
      <c r="N21" s="740">
        <f t="shared" si="10"/>
        <v>73569262141.73468</v>
      </c>
      <c r="O21" s="740">
        <f t="shared" si="1"/>
        <v>284002499060.2374</v>
      </c>
      <c r="P21" s="740">
        <f t="shared" si="2"/>
        <v>27833697.784712944</v>
      </c>
      <c r="Q21" s="741">
        <f t="shared" si="11"/>
        <v>33.777990895023045</v>
      </c>
      <c r="R21" s="712">
        <f t="shared" si="3"/>
        <v>0.902780616894955</v>
      </c>
      <c r="S21" s="712">
        <f t="shared" si="4"/>
        <v>0.9155501129201002</v>
      </c>
      <c r="T21">
        <f t="shared" si="38"/>
        <v>2012</v>
      </c>
      <c r="U21" s="734">
        <f>Input!C27</f>
        <v>2140604.4465521653</v>
      </c>
      <c r="V21" s="734">
        <f t="shared" si="5"/>
        <v>30401064.225680437</v>
      </c>
      <c r="X21">
        <f t="shared" si="39"/>
        <v>2012</v>
      </c>
      <c r="Y21" s="740">
        <f>O21+O86+O154+O219+O284+O412+O339</f>
        <v>314586394241.65125</v>
      </c>
      <c r="AA21" s="712">
        <f>B21+B86+B154+B219+B284+B339+B412</f>
        <v>1.0026666666666668</v>
      </c>
      <c r="AE21" s="740">
        <f t="shared" si="12"/>
        <v>79297955938.15164</v>
      </c>
      <c r="AG21" s="712">
        <f t="shared" si="13"/>
        <v>0.9155501129201002</v>
      </c>
      <c r="AH21" s="712">
        <f t="shared" si="14"/>
        <v>0.02270505990157889</v>
      </c>
      <c r="AI21" s="712">
        <f t="shared" si="15"/>
        <v>0.008416745175830352</v>
      </c>
      <c r="AJ21" s="712">
        <f t="shared" si="16"/>
        <v>0.005676264975394723</v>
      </c>
      <c r="AK21" s="712">
        <f t="shared" si="17"/>
        <v>0.005676264975394723</v>
      </c>
      <c r="AL21" s="712">
        <f t="shared" si="18"/>
        <v>0.0028381324876973614</v>
      </c>
      <c r="AM21" s="712">
        <f t="shared" si="19"/>
        <v>0.04245002217600234</v>
      </c>
      <c r="AN21" s="712">
        <f t="shared" si="20"/>
        <v>1.0033126026119987</v>
      </c>
      <c r="AO21" s="712">
        <f t="shared" si="21"/>
        <v>0.902780616894955</v>
      </c>
      <c r="AP21" s="712">
        <f t="shared" si="22"/>
        <v>0.027173024541291276</v>
      </c>
      <c r="AQ21" s="712">
        <f t="shared" si="23"/>
        <v>0.010155372054268974</v>
      </c>
      <c r="AR21" s="712">
        <f t="shared" si="24"/>
        <v>0.006793256135322818</v>
      </c>
      <c r="AS21" s="712">
        <f t="shared" si="25"/>
        <v>0.003396628067661409</v>
      </c>
      <c r="AT21" s="712">
        <f t="shared" si="26"/>
        <v>0.006793256135322818</v>
      </c>
      <c r="AU21" s="712">
        <f t="shared" si="27"/>
        <v>0.042907846171177676</v>
      </c>
      <c r="AV21" s="712">
        <f t="shared" si="28"/>
        <v>0.9999999999999999</v>
      </c>
      <c r="AW21" s="712">
        <f t="shared" si="29"/>
        <v>0.7</v>
      </c>
      <c r="AX21" s="712">
        <f t="shared" si="30"/>
        <v>0.13333333333333333</v>
      </c>
      <c r="AY21" s="712">
        <f t="shared" si="31"/>
        <v>0.04</v>
      </c>
      <c r="AZ21" s="712">
        <f t="shared" si="32"/>
        <v>0.03333333333333333</v>
      </c>
      <c r="BA21" s="712">
        <f t="shared" si="33"/>
        <v>0.016666666666666666</v>
      </c>
      <c r="BB21" s="712">
        <f t="shared" si="34"/>
        <v>0.03333333333333333</v>
      </c>
      <c r="BC21" s="712">
        <f t="shared" si="35"/>
        <v>0.046000000000000006</v>
      </c>
      <c r="BD21" s="712">
        <f t="shared" si="36"/>
        <v>1.0026666666666666</v>
      </c>
    </row>
    <row r="22" spans="1:56" ht="15">
      <c r="A22">
        <f t="shared" si="37"/>
        <v>2011</v>
      </c>
      <c r="B22" s="737">
        <f t="shared" si="41"/>
        <v>0.7625</v>
      </c>
      <c r="C22" s="734">
        <f>B22*Input!C28</f>
        <v>1615123.986420751</v>
      </c>
      <c r="D22">
        <f t="shared" si="7"/>
        <v>41.25</v>
      </c>
      <c r="E22" s="738">
        <f t="shared" si="8"/>
        <v>0.024242424242424242</v>
      </c>
      <c r="F22" s="739">
        <v>3977.035659323474</v>
      </c>
      <c r="G22">
        <v>0.22614028603925979</v>
      </c>
      <c r="I22">
        <f t="shared" si="40"/>
        <v>19</v>
      </c>
      <c r="J22" s="712">
        <v>0.2906</v>
      </c>
      <c r="K22" s="739">
        <v>3977.035659323474</v>
      </c>
      <c r="L22">
        <f t="shared" si="9"/>
        <v>2011</v>
      </c>
      <c r="M22" s="740">
        <f t="shared" si="0"/>
        <v>8676467016.671219</v>
      </c>
      <c r="N22" s="740">
        <f t="shared" si="10"/>
        <v>75919086395.87317</v>
      </c>
      <c r="O22" s="740">
        <f t="shared" si="1"/>
        <v>286073434860.4969</v>
      </c>
      <c r="P22" s="740">
        <f t="shared" si="2"/>
        <v>27966401.572606068</v>
      </c>
      <c r="Q22" s="741">
        <f t="shared" si="11"/>
        <v>32.97118911543454</v>
      </c>
      <c r="R22" s="712">
        <f t="shared" si="3"/>
        <v>0.9239750498718462</v>
      </c>
      <c r="S22" s="712">
        <f t="shared" si="4"/>
        <v>0.9333751335902358</v>
      </c>
      <c r="T22">
        <f t="shared" si="38"/>
        <v>2011</v>
      </c>
      <c r="U22" s="734">
        <f>Input!C28</f>
        <v>2118195.3920272146</v>
      </c>
      <c r="V22" s="734">
        <f t="shared" si="5"/>
        <v>29962659.777567733</v>
      </c>
      <c r="X22">
        <f t="shared" si="39"/>
        <v>2011</v>
      </c>
      <c r="Y22" s="740">
        <f>O22+O87+O155+O220+O285+O413+O340</f>
        <v>309611644708.5609</v>
      </c>
      <c r="AA22" s="712">
        <f>B22+B87+B155+B220+B285+B340+B413</f>
        <v>1.003</v>
      </c>
      <c r="AE22" s="740">
        <f t="shared" si="12"/>
        <v>81138327291.2161</v>
      </c>
      <c r="AG22" s="712">
        <f t="shared" si="13"/>
        <v>0.9333751335902358</v>
      </c>
      <c r="AH22" s="712">
        <f t="shared" si="14"/>
        <v>0.013802656737699875</v>
      </c>
      <c r="AI22" s="712">
        <f t="shared" si="15"/>
        <v>0.005795600855652052</v>
      </c>
      <c r="AJ22" s="712">
        <f t="shared" si="16"/>
        <v>0.0034506641844249688</v>
      </c>
      <c r="AK22" s="712">
        <f t="shared" si="17"/>
        <v>0.0034506641844249688</v>
      </c>
      <c r="AL22" s="712">
        <f t="shared" si="18"/>
        <v>0.0017253320922124844</v>
      </c>
      <c r="AM22" s="712">
        <f t="shared" si="19"/>
        <v>0.04210430216857922</v>
      </c>
      <c r="AN22" s="712">
        <f t="shared" si="20"/>
        <v>1.0037043538132293</v>
      </c>
      <c r="AO22" s="712">
        <f t="shared" si="21"/>
        <v>0.9239750498718462</v>
      </c>
      <c r="AP22" s="712">
        <f t="shared" si="22"/>
        <v>0.016356092483662068</v>
      </c>
      <c r="AQ22" s="712">
        <f t="shared" si="23"/>
        <v>0.006959391595722493</v>
      </c>
      <c r="AR22" s="712">
        <f t="shared" si="24"/>
        <v>0.004089023120915516</v>
      </c>
      <c r="AS22" s="712">
        <f t="shared" si="25"/>
        <v>0.002044511560457758</v>
      </c>
      <c r="AT22" s="712">
        <f t="shared" si="26"/>
        <v>0.004089023120915516</v>
      </c>
      <c r="AU22" s="712">
        <f t="shared" si="27"/>
        <v>0.04248690824648072</v>
      </c>
      <c r="AV22" s="712">
        <f t="shared" si="28"/>
        <v>1.0000000000000002</v>
      </c>
      <c r="AW22" s="712">
        <f t="shared" si="29"/>
        <v>0.7625</v>
      </c>
      <c r="AX22" s="712">
        <f t="shared" si="30"/>
        <v>0.10000000000000002</v>
      </c>
      <c r="AY22" s="712">
        <f t="shared" si="31"/>
        <v>0.0325</v>
      </c>
      <c r="AZ22" s="712">
        <f t="shared" si="32"/>
        <v>0.025</v>
      </c>
      <c r="BA22" s="712">
        <f t="shared" si="33"/>
        <v>0.0125</v>
      </c>
      <c r="BB22" s="712">
        <f t="shared" si="34"/>
        <v>0.025</v>
      </c>
      <c r="BC22" s="712">
        <f t="shared" si="35"/>
        <v>0.045500000000000006</v>
      </c>
      <c r="BD22" s="712">
        <f t="shared" si="36"/>
        <v>1.003</v>
      </c>
    </row>
    <row r="23" spans="1:56" ht="15">
      <c r="A23">
        <f t="shared" si="37"/>
        <v>2010</v>
      </c>
      <c r="B23" s="737">
        <f t="shared" si="41"/>
        <v>0.825</v>
      </c>
      <c r="C23" s="734">
        <f>B23*Input!C29</f>
        <v>1729217.2657010248</v>
      </c>
      <c r="D23">
        <f t="shared" si="7"/>
        <v>40</v>
      </c>
      <c r="E23" s="738">
        <f t="shared" si="8"/>
        <v>0.025</v>
      </c>
      <c r="F23" s="739">
        <v>3315.82251671355</v>
      </c>
      <c r="G23">
        <v>0.17272640560260025</v>
      </c>
      <c r="I23">
        <f t="shared" si="40"/>
        <v>20</v>
      </c>
      <c r="J23" s="712">
        <v>0.2552</v>
      </c>
      <c r="K23" s="739">
        <v>3315.82251671355</v>
      </c>
      <c r="L23">
        <f t="shared" si="9"/>
        <v>2010</v>
      </c>
      <c r="M23" s="740">
        <f t="shared" si="0"/>
        <v>8897692416.300102</v>
      </c>
      <c r="N23" s="740">
        <f t="shared" si="10"/>
        <v>77854808642.6259</v>
      </c>
      <c r="O23" s="740">
        <f t="shared" si="1"/>
        <v>286420151769.5702</v>
      </c>
      <c r="P23" s="740">
        <f t="shared" si="2"/>
        <v>27973869.754485</v>
      </c>
      <c r="Q23" s="741">
        <f t="shared" si="11"/>
        <v>32.19038581788505</v>
      </c>
      <c r="R23" s="712">
        <f t="shared" si="3"/>
        <v>0.9403700364709687</v>
      </c>
      <c r="S23" s="712">
        <f t="shared" si="4"/>
        <v>0.9473392309200621</v>
      </c>
      <c r="T23">
        <f t="shared" si="38"/>
        <v>2010</v>
      </c>
      <c r="U23" s="734">
        <f>Input!C29</f>
        <v>2096020.9281224543</v>
      </c>
      <c r="V23" s="734">
        <f t="shared" si="5"/>
        <v>29528883.467980728</v>
      </c>
      <c r="X23">
        <f t="shared" si="39"/>
        <v>2010</v>
      </c>
      <c r="Y23" s="740">
        <f>O23+O88+O156+O221+O286+O414+O341</f>
        <v>304582388486.6121</v>
      </c>
      <c r="AA23" s="712">
        <f>B23+B88+B156+B221+B286+B341+B414</f>
        <v>1.0033333333333334</v>
      </c>
      <c r="AE23" s="740">
        <f t="shared" si="12"/>
        <v>82704202782.24579</v>
      </c>
      <c r="AG23" s="712">
        <f t="shared" si="13"/>
        <v>0.9473392309200621</v>
      </c>
      <c r="AH23" s="712">
        <f t="shared" si="14"/>
        <v>0.006998839581575078</v>
      </c>
      <c r="AI23" s="712">
        <f t="shared" si="15"/>
        <v>0.0036244620896735322</v>
      </c>
      <c r="AJ23" s="712">
        <f t="shared" si="16"/>
        <v>0.0017497098953937694</v>
      </c>
      <c r="AK23" s="712">
        <f t="shared" si="17"/>
        <v>0.0017497098953937694</v>
      </c>
      <c r="AL23" s="712">
        <f t="shared" si="18"/>
        <v>0.0008748549476968847</v>
      </c>
      <c r="AM23" s="712">
        <f t="shared" si="19"/>
        <v>0.04177866212807017</v>
      </c>
      <c r="AN23" s="712">
        <f t="shared" si="20"/>
        <v>1.0041154694578653</v>
      </c>
      <c r="AO23" s="712">
        <f t="shared" si="21"/>
        <v>0.9403700364709687</v>
      </c>
      <c r="AP23" s="712">
        <f t="shared" si="22"/>
        <v>0.008142285199414888</v>
      </c>
      <c r="AQ23" s="712">
        <f t="shared" si="23"/>
        <v>0.004314524079888534</v>
      </c>
      <c r="AR23" s="712">
        <f t="shared" si="24"/>
        <v>0.002035571299853722</v>
      </c>
      <c r="AS23" s="712">
        <f t="shared" si="25"/>
        <v>0.001017785649926861</v>
      </c>
      <c r="AT23" s="712">
        <f t="shared" si="26"/>
        <v>0.002035571299853722</v>
      </c>
      <c r="AU23" s="712">
        <f t="shared" si="27"/>
        <v>0.042084226000093976</v>
      </c>
      <c r="AV23" s="712">
        <f t="shared" si="28"/>
        <v>1.0000000000000004</v>
      </c>
      <c r="AW23" s="712">
        <f t="shared" si="29"/>
        <v>0.825</v>
      </c>
      <c r="AX23" s="712">
        <f t="shared" si="30"/>
        <v>0.06666666666666667</v>
      </c>
      <c r="AY23" s="712">
        <f t="shared" si="31"/>
        <v>0.025</v>
      </c>
      <c r="AZ23" s="712">
        <f t="shared" si="32"/>
        <v>0.016666666666666666</v>
      </c>
      <c r="BA23" s="712">
        <f t="shared" si="33"/>
        <v>0.008333333333333333</v>
      </c>
      <c r="BB23" s="712">
        <f t="shared" si="34"/>
        <v>0.016666666666666666</v>
      </c>
      <c r="BC23" s="712">
        <f t="shared" si="35"/>
        <v>0.045000000000000005</v>
      </c>
      <c r="BD23" s="712">
        <f t="shared" si="36"/>
        <v>1.0033333333333334</v>
      </c>
    </row>
    <row r="24" spans="1:56" ht="15">
      <c r="A24">
        <f t="shared" si="37"/>
        <v>2009</v>
      </c>
      <c r="B24" s="737">
        <f>B$25+(ABS(A24-A$25)*($B$13-B$25)/(A$13-A$25))</f>
        <v>0.8875</v>
      </c>
      <c r="C24" s="734">
        <f>B24*Input!C30</f>
        <v>1833243.679038412</v>
      </c>
      <c r="D24">
        <f t="shared" si="7"/>
        <v>38.75</v>
      </c>
      <c r="E24" s="738">
        <f t="shared" si="8"/>
        <v>0.025806451612903226</v>
      </c>
      <c r="F24" s="739">
        <v>2764.5412071097358</v>
      </c>
      <c r="G24">
        <v>0.16149918923843123</v>
      </c>
      <c r="I24">
        <f t="shared" si="40"/>
        <v>21</v>
      </c>
      <c r="J24" s="712">
        <v>0.2244</v>
      </c>
      <c r="K24" s="739">
        <v>2764.5412071097358</v>
      </c>
      <c r="L24">
        <f t="shared" si="9"/>
        <v>2009</v>
      </c>
      <c r="M24" s="740">
        <f t="shared" si="0"/>
        <v>9068204133.244545</v>
      </c>
      <c r="N24" s="740">
        <f t="shared" si="10"/>
        <v>79346786165.88977</v>
      </c>
      <c r="O24" s="740">
        <f t="shared" si="1"/>
        <v>285093367894.0987</v>
      </c>
      <c r="P24" s="740">
        <f t="shared" si="2"/>
        <v>27858704.09690235</v>
      </c>
      <c r="Q24" s="741">
        <f t="shared" si="11"/>
        <v>31.43879027258886</v>
      </c>
      <c r="R24" s="712">
        <f t="shared" si="3"/>
        <v>0.95176517001638</v>
      </c>
      <c r="S24" s="712">
        <f t="shared" si="4"/>
        <v>0.9573044628337917</v>
      </c>
      <c r="T24">
        <f t="shared" si="38"/>
        <v>2009</v>
      </c>
      <c r="U24" s="734">
        <f>Input!C30</f>
        <v>2065626.6806066614</v>
      </c>
      <c r="V24" s="734">
        <f t="shared" si="5"/>
        <v>29101195.26073829</v>
      </c>
      <c r="X24">
        <f t="shared" si="39"/>
        <v>2009</v>
      </c>
      <c r="Y24" s="740">
        <f>O24+O89+O157+O222+O287+O415+O342</f>
        <v>299541711417.3155</v>
      </c>
      <c r="AA24" s="712">
        <f>B24+B89+B157+B222+B287+B342+B415</f>
        <v>1.0036666666666665</v>
      </c>
      <c r="AE24" s="740">
        <f t="shared" si="12"/>
        <v>83964372853.31964</v>
      </c>
      <c r="AG24" s="712">
        <f t="shared" si="13"/>
        <v>0.9573044628337917</v>
      </c>
      <c r="AH24" s="712">
        <f t="shared" si="14"/>
        <v>0.002366027308156067</v>
      </c>
      <c r="AI24" s="712">
        <f t="shared" si="15"/>
        <v>0.0019221631747945087</v>
      </c>
      <c r="AJ24" s="712">
        <f t="shared" si="16"/>
        <v>0.0005915068270390167</v>
      </c>
      <c r="AK24" s="712">
        <f t="shared" si="17"/>
        <v>0.0005915068270390167</v>
      </c>
      <c r="AL24" s="712">
        <f t="shared" si="18"/>
        <v>0.00029575341351950835</v>
      </c>
      <c r="AM24" s="712">
        <f t="shared" si="19"/>
        <v>0.04121623001928731</v>
      </c>
      <c r="AN24" s="712">
        <f t="shared" si="20"/>
        <v>1.004287650403627</v>
      </c>
      <c r="AO24" s="712">
        <f t="shared" si="21"/>
        <v>0.95176517001638</v>
      </c>
      <c r="AP24" s="712">
        <f t="shared" si="22"/>
        <v>0.0026434500796320396</v>
      </c>
      <c r="AQ24" s="712">
        <f t="shared" si="23"/>
        <v>0.0022495149549886383</v>
      </c>
      <c r="AR24" s="712">
        <f t="shared" si="24"/>
        <v>0.0006608625199080099</v>
      </c>
      <c r="AS24" s="712">
        <f t="shared" si="25"/>
        <v>0.00033043125995400494</v>
      </c>
      <c r="AT24" s="712">
        <f t="shared" si="26"/>
        <v>0.0006608625199080099</v>
      </c>
      <c r="AU24" s="712">
        <f t="shared" si="27"/>
        <v>0.0416897086492294</v>
      </c>
      <c r="AV24" s="712">
        <f t="shared" si="28"/>
        <v>1.0000000000000002</v>
      </c>
      <c r="AW24" s="712">
        <f t="shared" si="29"/>
        <v>0.8875</v>
      </c>
      <c r="AX24" s="712">
        <f t="shared" si="30"/>
        <v>0.03333333333333333</v>
      </c>
      <c r="AY24" s="712">
        <f t="shared" si="31"/>
        <v>0.0175</v>
      </c>
      <c r="AZ24" s="712">
        <f t="shared" si="32"/>
        <v>0.008333333333333333</v>
      </c>
      <c r="BA24" s="712">
        <f t="shared" si="33"/>
        <v>0.004166666666666667</v>
      </c>
      <c r="BB24" s="712">
        <f t="shared" si="34"/>
        <v>0.008333333333333333</v>
      </c>
      <c r="BC24" s="712">
        <f t="shared" si="35"/>
        <v>0.044500000000000005</v>
      </c>
      <c r="BD24" s="712">
        <f t="shared" si="36"/>
        <v>1.0036666666666665</v>
      </c>
    </row>
    <row r="25" spans="1:56" ht="15">
      <c r="A25">
        <f t="shared" si="37"/>
        <v>2008</v>
      </c>
      <c r="B25" s="737">
        <f>Input!B44</f>
        <v>0.95</v>
      </c>
      <c r="C25" s="734">
        <f>B25*Input!C31</f>
        <v>1933889.518976967</v>
      </c>
      <c r="D25">
        <f t="shared" si="7"/>
        <v>37.5</v>
      </c>
      <c r="E25" s="738">
        <f t="shared" si="8"/>
        <v>0.02666666666666667</v>
      </c>
      <c r="F25" s="739">
        <v>2304.9147073718354</v>
      </c>
      <c r="G25">
        <v>0.15027197287426222</v>
      </c>
      <c r="I25">
        <f t="shared" si="40"/>
        <v>22</v>
      </c>
      <c r="J25" s="712">
        <v>0.1982</v>
      </c>
      <c r="K25" s="739">
        <v>2304.9147073718354</v>
      </c>
      <c r="L25">
        <f t="shared" si="9"/>
        <v>2008</v>
      </c>
      <c r="M25" s="740">
        <f t="shared" si="0"/>
        <v>9186413949.799072</v>
      </c>
      <c r="N25" s="740">
        <f t="shared" si="10"/>
        <v>80381122060.74188</v>
      </c>
      <c r="O25" s="740">
        <f t="shared" si="1"/>
        <v>282217869832.72363</v>
      </c>
      <c r="P25" s="740">
        <f t="shared" si="2"/>
        <v>27630638.901455812</v>
      </c>
      <c r="Q25" s="741">
        <f t="shared" si="11"/>
        <v>30.721222816101857</v>
      </c>
      <c r="R25" s="712">
        <f t="shared" si="3"/>
        <v>0.9578879645767521</v>
      </c>
      <c r="S25" s="712">
        <f t="shared" si="4"/>
        <v>0.9630717575389921</v>
      </c>
      <c r="T25">
        <f t="shared" si="38"/>
        <v>2008</v>
      </c>
      <c r="U25" s="734">
        <f>Input!C31</f>
        <v>2035673.1778704918</v>
      </c>
      <c r="V25" s="734">
        <f t="shared" si="5"/>
        <v>28690114.40233946</v>
      </c>
      <c r="X25">
        <f t="shared" si="39"/>
        <v>2008</v>
      </c>
      <c r="Y25" s="740">
        <f>O25+O90+O158+O223+O288+O416+O343</f>
        <v>294625133908.4557</v>
      </c>
      <c r="AA25" s="712">
        <f>B25+B90+B158+B223+B288+B343+B416</f>
        <v>1.004</v>
      </c>
      <c r="AE25" s="740">
        <f t="shared" si="12"/>
        <v>84908571693.94147</v>
      </c>
      <c r="AG25" s="712">
        <f t="shared" si="13"/>
        <v>0.9630717575389921</v>
      </c>
      <c r="AH25" s="712">
        <f t="shared" si="14"/>
        <v>0</v>
      </c>
      <c r="AI25" s="712">
        <f t="shared" si="15"/>
        <v>0.0007095381877266053</v>
      </c>
      <c r="AJ25" s="712">
        <f t="shared" si="16"/>
        <v>0</v>
      </c>
      <c r="AK25" s="712">
        <f t="shared" si="17"/>
        <v>0</v>
      </c>
      <c r="AL25" s="712">
        <f t="shared" si="18"/>
        <v>0</v>
      </c>
      <c r="AM25" s="712">
        <f t="shared" si="19"/>
        <v>0.04065957840665974</v>
      </c>
      <c r="AN25" s="712">
        <f t="shared" si="20"/>
        <v>1.0044408741333783</v>
      </c>
      <c r="AO25" s="712">
        <f t="shared" si="21"/>
        <v>0.9578879645767521</v>
      </c>
      <c r="AP25" s="712">
        <f t="shared" si="22"/>
        <v>0</v>
      </c>
      <c r="AQ25" s="712">
        <f t="shared" si="23"/>
        <v>0.0007945772051064917</v>
      </c>
      <c r="AR25" s="712">
        <f t="shared" si="24"/>
        <v>0</v>
      </c>
      <c r="AS25" s="712">
        <f t="shared" si="25"/>
        <v>0</v>
      </c>
      <c r="AT25" s="712">
        <f t="shared" si="26"/>
        <v>0</v>
      </c>
      <c r="AU25" s="712">
        <f t="shared" si="27"/>
        <v>0.0413174582181416</v>
      </c>
      <c r="AV25" s="712">
        <f t="shared" si="28"/>
        <v>1.0000000000000002</v>
      </c>
      <c r="AW25" s="712">
        <f t="shared" si="29"/>
        <v>0.95</v>
      </c>
      <c r="AX25" s="712">
        <f t="shared" si="30"/>
        <v>0</v>
      </c>
      <c r="AY25" s="712">
        <f t="shared" si="31"/>
        <v>0.01</v>
      </c>
      <c r="AZ25" s="712">
        <f t="shared" si="32"/>
        <v>0</v>
      </c>
      <c r="BA25" s="712">
        <f t="shared" si="33"/>
        <v>0</v>
      </c>
      <c r="BB25" s="712">
        <f t="shared" si="34"/>
        <v>0</v>
      </c>
      <c r="BC25" s="712">
        <f t="shared" si="35"/>
        <v>0.044000000000000004</v>
      </c>
      <c r="BD25" s="712">
        <f t="shared" si="36"/>
        <v>1.004</v>
      </c>
    </row>
    <row r="26" spans="1:56" ht="12.75">
      <c r="A26">
        <f t="shared" si="37"/>
        <v>2007</v>
      </c>
      <c r="B26" s="712">
        <f>J45</f>
        <v>0.9310669836941831</v>
      </c>
      <c r="C26" s="734">
        <f>B26*Input!C32</f>
        <v>1899727.5203937145</v>
      </c>
      <c r="D26">
        <f t="shared" si="7"/>
        <v>36.25</v>
      </c>
      <c r="E26" s="738">
        <f t="shared" si="8"/>
        <v>0.027586206896551724</v>
      </c>
      <c r="F26" s="739">
        <v>1921.7046917572368</v>
      </c>
      <c r="G26">
        <v>0.1390447565100932</v>
      </c>
      <c r="I26">
        <f t="shared" si="40"/>
        <v>23</v>
      </c>
      <c r="J26" s="712">
        <v>0.1745</v>
      </c>
      <c r="K26" s="739">
        <v>1921.7046917572368</v>
      </c>
      <c r="L26">
        <f t="shared" si="9"/>
        <v>2007</v>
      </c>
      <c r="M26" s="740">
        <f t="shared" si="0"/>
        <v>9253966061.623178</v>
      </c>
      <c r="N26" s="740">
        <f t="shared" si="10"/>
        <v>80972203039.2028</v>
      </c>
      <c r="O26" s="740">
        <f t="shared" si="1"/>
        <v>278029636895.4216</v>
      </c>
      <c r="P26" s="740">
        <f t="shared" si="2"/>
        <v>27291067.463247005</v>
      </c>
      <c r="Q26" s="741">
        <f t="shared" si="11"/>
        <v>30.044376113332557</v>
      </c>
      <c r="R26" s="712">
        <f t="shared" si="3"/>
        <v>0.9590430904653304</v>
      </c>
      <c r="S26" s="712">
        <f t="shared" si="4"/>
        <v>0.9644329223420978</v>
      </c>
      <c r="T26">
        <f t="shared" si="38"/>
        <v>2007</v>
      </c>
      <c r="U26" s="734">
        <f>Input!C32</f>
        <v>2040376.8511436083</v>
      </c>
      <c r="V26" s="734">
        <f t="shared" si="5"/>
        <v>28297527.83321771</v>
      </c>
      <c r="X26">
        <f t="shared" si="39"/>
        <v>2007</v>
      </c>
      <c r="Y26" s="740">
        <f>O26+O91+O159+O224+O289+O417+O344</f>
        <v>289903175008.0393</v>
      </c>
      <c r="AA26" s="712">
        <f>B26+B91+B159+B224+B289+B344+B417</f>
        <v>0.974566983694183</v>
      </c>
      <c r="AE26" s="740">
        <f t="shared" si="12"/>
        <v>85539382217.80417</v>
      </c>
      <c r="AG26" s="712">
        <f t="shared" si="13"/>
        <v>0.9644329223420978</v>
      </c>
      <c r="AH26" s="712">
        <f t="shared" si="14"/>
        <v>0</v>
      </c>
      <c r="AI26" s="712">
        <f t="shared" si="15"/>
        <v>0</v>
      </c>
      <c r="AJ26" s="712">
        <f t="shared" si="16"/>
        <v>0</v>
      </c>
      <c r="AK26" s="712">
        <f t="shared" si="17"/>
        <v>0</v>
      </c>
      <c r="AL26" s="712">
        <f t="shared" si="18"/>
        <v>0</v>
      </c>
      <c r="AM26" s="712">
        <f t="shared" si="19"/>
        <v>0.04010812992488567</v>
      </c>
      <c r="AN26" s="712">
        <f t="shared" si="20"/>
        <v>1.0045410522669835</v>
      </c>
      <c r="AO26" s="712">
        <f t="shared" si="21"/>
        <v>0.9590430904653304</v>
      </c>
      <c r="AP26" s="712">
        <f t="shared" si="22"/>
        <v>0</v>
      </c>
      <c r="AQ26" s="712">
        <f t="shared" si="23"/>
        <v>0</v>
      </c>
      <c r="AR26" s="712">
        <f t="shared" si="24"/>
        <v>0</v>
      </c>
      <c r="AS26" s="712">
        <f t="shared" si="25"/>
        <v>0</v>
      </c>
      <c r="AT26" s="712">
        <f t="shared" si="26"/>
        <v>0</v>
      </c>
      <c r="AU26" s="712">
        <f t="shared" si="27"/>
        <v>0.04095690953466944</v>
      </c>
      <c r="AV26" s="712">
        <f t="shared" si="28"/>
        <v>0.9999999999999999</v>
      </c>
      <c r="AW26" s="712">
        <f t="shared" si="29"/>
        <v>0.9310669836941831</v>
      </c>
      <c r="AX26" s="712">
        <f t="shared" si="30"/>
        <v>0</v>
      </c>
      <c r="AY26" s="712">
        <f t="shared" si="31"/>
        <v>0</v>
      </c>
      <c r="AZ26" s="712">
        <f t="shared" si="32"/>
        <v>0</v>
      </c>
      <c r="BA26" s="712">
        <f t="shared" si="33"/>
        <v>0</v>
      </c>
      <c r="BB26" s="712">
        <f t="shared" si="34"/>
        <v>0</v>
      </c>
      <c r="BC26" s="712">
        <f t="shared" si="35"/>
        <v>0.043500000000000004</v>
      </c>
      <c r="BD26" s="712">
        <f t="shared" si="36"/>
        <v>0.974566983694183</v>
      </c>
    </row>
    <row r="27" spans="1:56" ht="12.75">
      <c r="A27">
        <f t="shared" si="37"/>
        <v>2006</v>
      </c>
      <c r="B27" s="712">
        <f>J44</f>
        <v>0.9429606296240725</v>
      </c>
      <c r="C27" s="734">
        <f>B27*Input!C33</f>
        <v>1899233.4760381698</v>
      </c>
      <c r="D27">
        <f t="shared" si="7"/>
        <v>35</v>
      </c>
      <c r="E27" s="738">
        <f t="shared" si="8"/>
        <v>0.02857142857142857</v>
      </c>
      <c r="F27" s="739">
        <v>1602.206324819992</v>
      </c>
      <c r="G27">
        <v>0.12781754014592417</v>
      </c>
      <c r="I27">
        <f t="shared" si="40"/>
        <v>24</v>
      </c>
      <c r="J27" s="712">
        <v>0.1626</v>
      </c>
      <c r="K27" s="739">
        <v>1602.206324819992</v>
      </c>
      <c r="L27">
        <f t="shared" si="9"/>
        <v>2006</v>
      </c>
      <c r="M27" s="740">
        <f t="shared" si="0"/>
        <v>9308817702.62877</v>
      </c>
      <c r="N27" s="740">
        <f t="shared" si="10"/>
        <v>81452154898.00174</v>
      </c>
      <c r="O27" s="740">
        <f t="shared" si="1"/>
        <v>274072365269.64972</v>
      </c>
      <c r="P27" s="740">
        <f t="shared" si="2"/>
        <v>26977355.749881312</v>
      </c>
      <c r="Q27" s="741">
        <f t="shared" si="11"/>
        <v>29.442231443876363</v>
      </c>
      <c r="R27" s="712">
        <f t="shared" si="3"/>
        <v>0.9594784795470993</v>
      </c>
      <c r="S27" s="712">
        <f t="shared" si="4"/>
        <v>0.9672723475079557</v>
      </c>
      <c r="T27">
        <f t="shared" si="38"/>
        <v>2006</v>
      </c>
      <c r="U27" s="734">
        <f>Input!C33</f>
        <v>2014117.4682927453</v>
      </c>
      <c r="V27" s="734">
        <f t="shared" si="5"/>
        <v>27890134.375685155</v>
      </c>
      <c r="X27">
        <f t="shared" si="39"/>
        <v>2006</v>
      </c>
      <c r="Y27" s="740">
        <f>O27+O92+O160+O225+O290+O418+O345</f>
        <v>285647225145.70575</v>
      </c>
      <c r="AA27" s="712">
        <f>B27+B92+B160+B225+B290+B345+B418</f>
        <v>0.9859606296240725</v>
      </c>
      <c r="AE27" s="740">
        <f t="shared" si="12"/>
        <v>86096629658.28873</v>
      </c>
      <c r="AG27" s="712">
        <f t="shared" si="13"/>
        <v>0.9672723475079557</v>
      </c>
      <c r="AH27" s="712">
        <f t="shared" si="14"/>
        <v>0</v>
      </c>
      <c r="AI27" s="712">
        <f t="shared" si="15"/>
        <v>0</v>
      </c>
      <c r="AJ27" s="712">
        <f t="shared" si="16"/>
        <v>0</v>
      </c>
      <c r="AK27" s="712">
        <f t="shared" si="17"/>
        <v>0</v>
      </c>
      <c r="AL27" s="712">
        <f t="shared" si="18"/>
        <v>0</v>
      </c>
      <c r="AM27" s="712">
        <f t="shared" si="19"/>
        <v>0.0395566959537876</v>
      </c>
      <c r="AN27" s="712">
        <f t="shared" si="20"/>
        <v>1.0068290434617433</v>
      </c>
      <c r="AO27" s="712">
        <f t="shared" si="21"/>
        <v>0.9594784795470993</v>
      </c>
      <c r="AP27" s="712">
        <f t="shared" si="22"/>
        <v>0</v>
      </c>
      <c r="AQ27" s="712">
        <f t="shared" si="23"/>
        <v>0</v>
      </c>
      <c r="AR27" s="712">
        <f t="shared" si="24"/>
        <v>0</v>
      </c>
      <c r="AS27" s="712">
        <f t="shared" si="25"/>
        <v>0</v>
      </c>
      <c r="AT27" s="712">
        <f t="shared" si="26"/>
        <v>0</v>
      </c>
      <c r="AU27" s="712">
        <f t="shared" si="27"/>
        <v>0.04052152045290069</v>
      </c>
      <c r="AV27" s="712">
        <f t="shared" si="28"/>
        <v>1</v>
      </c>
      <c r="AW27" s="712">
        <f t="shared" si="29"/>
        <v>0.9429606296240725</v>
      </c>
      <c r="AX27" s="712">
        <f t="shared" si="30"/>
        <v>0</v>
      </c>
      <c r="AY27" s="712">
        <f t="shared" si="31"/>
        <v>0</v>
      </c>
      <c r="AZ27" s="712">
        <f t="shared" si="32"/>
        <v>0</v>
      </c>
      <c r="BA27" s="712">
        <f t="shared" si="33"/>
        <v>0</v>
      </c>
      <c r="BB27" s="712">
        <f t="shared" si="34"/>
        <v>0</v>
      </c>
      <c r="BC27" s="712">
        <f t="shared" si="35"/>
        <v>0.043000000000000003</v>
      </c>
      <c r="BD27" s="712">
        <f t="shared" si="36"/>
        <v>0.9859606296240725</v>
      </c>
    </row>
    <row r="28" spans="1:56" ht="12.75">
      <c r="A28">
        <f t="shared" si="37"/>
        <v>2005</v>
      </c>
      <c r="B28" s="712">
        <f>J43</f>
        <v>0.944283296137525</v>
      </c>
      <c r="C28" s="734">
        <f>B28*Input!C34</f>
        <v>1873381.4809902234</v>
      </c>
      <c r="D28">
        <f t="shared" si="7"/>
        <v>33.75</v>
      </c>
      <c r="E28" s="738">
        <f t="shared" si="8"/>
        <v>0.02962962962962963</v>
      </c>
      <c r="F28" s="739">
        <v>1335.8270489238498</v>
      </c>
      <c r="G28">
        <v>0.11659032378175517</v>
      </c>
      <c r="I28">
        <f t="shared" si="40"/>
        <v>25</v>
      </c>
      <c r="J28" s="712">
        <v>0.1525</v>
      </c>
      <c r="K28" s="739">
        <v>1335.8270489238498</v>
      </c>
      <c r="L28">
        <f t="shared" si="9"/>
        <v>2005</v>
      </c>
      <c r="M28" s="740">
        <f t="shared" si="0"/>
        <v>9340118218.410498</v>
      </c>
      <c r="N28" s="740">
        <f t="shared" si="10"/>
        <v>81726034411.09186</v>
      </c>
      <c r="O28" s="740">
        <f t="shared" si="1"/>
        <v>270027861819.7937</v>
      </c>
      <c r="P28" s="740">
        <f t="shared" si="2"/>
        <v>26657209.57684859</v>
      </c>
      <c r="Q28" s="741">
        <f t="shared" si="11"/>
        <v>28.910540049432807</v>
      </c>
      <c r="R28" s="712">
        <f t="shared" si="3"/>
        <v>0.9598222935841011</v>
      </c>
      <c r="S28" s="712">
        <f t="shared" si="4"/>
        <v>0.9693176582891123</v>
      </c>
      <c r="T28">
        <f t="shared" si="38"/>
        <v>2005</v>
      </c>
      <c r="U28" s="734">
        <f>Input!C34</f>
        <v>1983918.902995595</v>
      </c>
      <c r="V28" s="734">
        <f t="shared" si="5"/>
        <v>27501004.803626213</v>
      </c>
      <c r="X28">
        <f t="shared" si="39"/>
        <v>2005</v>
      </c>
      <c r="Y28" s="740">
        <f>O28+O93+O161+O226+O291+O419+O346</f>
        <v>281331100168.0057</v>
      </c>
      <c r="AA28" s="712">
        <f>B28+B93+B161+B226+B291+B346+B419</f>
        <v>0.986783296137525</v>
      </c>
      <c r="AE28" s="740">
        <f t="shared" si="12"/>
        <v>86448285945.62077</v>
      </c>
      <c r="AG28" s="712">
        <f t="shared" si="13"/>
        <v>0.9693176582891123</v>
      </c>
      <c r="AH28" s="712">
        <f t="shared" si="14"/>
        <v>0</v>
      </c>
      <c r="AI28" s="712">
        <f t="shared" si="15"/>
        <v>0</v>
      </c>
      <c r="AJ28" s="712">
        <f t="shared" si="16"/>
        <v>0</v>
      </c>
      <c r="AK28" s="712">
        <f t="shared" si="17"/>
        <v>0</v>
      </c>
      <c r="AL28" s="712">
        <f t="shared" si="18"/>
        <v>0</v>
      </c>
      <c r="AM28" s="712">
        <f t="shared" si="19"/>
        <v>0.03960519549831541</v>
      </c>
      <c r="AN28" s="712">
        <f t="shared" si="20"/>
        <v>1.0089228537874277</v>
      </c>
      <c r="AO28" s="712">
        <f t="shared" si="21"/>
        <v>0.9598222935841011</v>
      </c>
      <c r="AP28" s="712">
        <f t="shared" si="22"/>
        <v>0</v>
      </c>
      <c r="AQ28" s="712">
        <f t="shared" si="23"/>
        <v>0</v>
      </c>
      <c r="AR28" s="712">
        <f t="shared" si="24"/>
        <v>0</v>
      </c>
      <c r="AS28" s="712">
        <f t="shared" si="25"/>
        <v>0</v>
      </c>
      <c r="AT28" s="712">
        <f t="shared" si="26"/>
        <v>0</v>
      </c>
      <c r="AU28" s="712">
        <f t="shared" si="27"/>
        <v>0.04017770641589891</v>
      </c>
      <c r="AV28" s="712">
        <f t="shared" si="28"/>
        <v>1</v>
      </c>
      <c r="AW28" s="712">
        <f t="shared" si="29"/>
        <v>0.944283296137525</v>
      </c>
      <c r="AX28" s="712">
        <f t="shared" si="30"/>
        <v>0</v>
      </c>
      <c r="AY28" s="712">
        <f t="shared" si="31"/>
        <v>0</v>
      </c>
      <c r="AZ28" s="712">
        <f t="shared" si="32"/>
        <v>0</v>
      </c>
      <c r="BA28" s="712">
        <f t="shared" si="33"/>
        <v>0</v>
      </c>
      <c r="BB28" s="712">
        <f t="shared" si="34"/>
        <v>0</v>
      </c>
      <c r="BC28" s="712">
        <f t="shared" si="35"/>
        <v>0.0425</v>
      </c>
      <c r="BD28" s="712">
        <f t="shared" si="36"/>
        <v>0.986783296137525</v>
      </c>
    </row>
    <row r="29" spans="1:56" ht="12.75">
      <c r="A29">
        <f t="shared" si="37"/>
        <v>2004</v>
      </c>
      <c r="B29" s="712">
        <f>J42</f>
        <v>0.9549885158535093</v>
      </c>
      <c r="C29" s="734">
        <f>B29*Input!C35</f>
        <v>1862689.8582644619</v>
      </c>
      <c r="D29">
        <f t="shared" si="7"/>
        <v>32.5</v>
      </c>
      <c r="E29" s="738">
        <f t="shared" si="8"/>
        <v>0.03076923076923077</v>
      </c>
      <c r="F29" s="739">
        <v>1113.7354016107024</v>
      </c>
      <c r="G29">
        <v>0.10536310741758616</v>
      </c>
      <c r="I29">
        <f t="shared" si="40"/>
        <v>26</v>
      </c>
      <c r="J29" s="712">
        <v>0.1433</v>
      </c>
      <c r="K29" s="739">
        <v>1113.7354016107024</v>
      </c>
      <c r="L29">
        <f t="shared" si="9"/>
        <v>2004</v>
      </c>
      <c r="M29" s="740">
        <f t="shared" si="0"/>
        <v>9353891097.878553</v>
      </c>
      <c r="N29" s="740">
        <f t="shared" si="10"/>
        <v>81846547106.43735</v>
      </c>
      <c r="O29" s="740">
        <f t="shared" si="1"/>
        <v>266185793070.51343</v>
      </c>
      <c r="P29" s="740">
        <f t="shared" si="2"/>
        <v>26356896.242455095</v>
      </c>
      <c r="Q29" s="741">
        <f t="shared" si="11"/>
        <v>28.457226012700097</v>
      </c>
      <c r="R29" s="712">
        <f t="shared" si="3"/>
        <v>0.9601273411601542</v>
      </c>
      <c r="S29" s="712">
        <f t="shared" si="4"/>
        <v>0.9713322207232716</v>
      </c>
      <c r="T29">
        <f t="shared" si="38"/>
        <v>2004</v>
      </c>
      <c r="U29" s="734">
        <f>Input!C35</f>
        <v>1950484.039695185</v>
      </c>
      <c r="V29" s="734">
        <f t="shared" si="5"/>
        <v>27134790.425081618</v>
      </c>
      <c r="X29">
        <f t="shared" si="39"/>
        <v>2004</v>
      </c>
      <c r="Y29" s="740">
        <f>O29+O94+O162+O227+O292+O420+O347</f>
        <v>277240092703.61176</v>
      </c>
      <c r="AA29" s="712">
        <f>B29+B94+B162+B227+B292+B347+B420</f>
        <v>0.9969885158535093</v>
      </c>
      <c r="AE29" s="740">
        <f t="shared" si="12"/>
        <v>86644865166.7306</v>
      </c>
      <c r="AG29" s="712">
        <f t="shared" si="13"/>
        <v>0.9713322207232716</v>
      </c>
      <c r="AH29" s="712">
        <f t="shared" si="14"/>
        <v>0</v>
      </c>
      <c r="AI29" s="712">
        <f t="shared" si="15"/>
        <v>0</v>
      </c>
      <c r="AJ29" s="712">
        <f t="shared" si="16"/>
        <v>0</v>
      </c>
      <c r="AK29" s="712">
        <f t="shared" si="17"/>
        <v>0</v>
      </c>
      <c r="AL29" s="712">
        <f t="shared" si="18"/>
        <v>0</v>
      </c>
      <c r="AM29" s="712">
        <f t="shared" si="19"/>
        <v>0.03968888189571805</v>
      </c>
      <c r="AN29" s="712">
        <f t="shared" si="20"/>
        <v>1.0110211026189897</v>
      </c>
      <c r="AO29" s="712">
        <f t="shared" si="21"/>
        <v>0.9601273411601542</v>
      </c>
      <c r="AP29" s="712">
        <f t="shared" si="22"/>
        <v>0</v>
      </c>
      <c r="AQ29" s="712">
        <f t="shared" si="23"/>
        <v>0</v>
      </c>
      <c r="AR29" s="712">
        <f t="shared" si="24"/>
        <v>0</v>
      </c>
      <c r="AS29" s="712">
        <f t="shared" si="25"/>
        <v>0</v>
      </c>
      <c r="AT29" s="712">
        <f t="shared" si="26"/>
        <v>0</v>
      </c>
      <c r="AU29" s="712">
        <f t="shared" si="27"/>
        <v>0.03987265883984574</v>
      </c>
      <c r="AV29" s="712">
        <f t="shared" si="28"/>
        <v>0.9999999999999999</v>
      </c>
      <c r="AW29" s="712">
        <f t="shared" si="29"/>
        <v>0.9549885158535093</v>
      </c>
      <c r="AX29" s="712">
        <f t="shared" si="30"/>
        <v>0</v>
      </c>
      <c r="AY29" s="712">
        <f t="shared" si="31"/>
        <v>0</v>
      </c>
      <c r="AZ29" s="712">
        <f t="shared" si="32"/>
        <v>0</v>
      </c>
      <c r="BA29" s="712">
        <f t="shared" si="33"/>
        <v>0</v>
      </c>
      <c r="BB29" s="712">
        <f t="shared" si="34"/>
        <v>0</v>
      </c>
      <c r="BC29" s="712">
        <f t="shared" si="35"/>
        <v>0.042</v>
      </c>
      <c r="BD29" s="712">
        <f t="shared" si="36"/>
        <v>0.9969885158535093</v>
      </c>
    </row>
    <row r="30" spans="1:56" ht="12.75">
      <c r="A30">
        <f t="shared" si="37"/>
        <v>2003</v>
      </c>
      <c r="B30" s="712">
        <f>J41</f>
        <v>0.9630427289617971</v>
      </c>
      <c r="C30" s="734">
        <f>B30*Input!C36</f>
        <v>1775391.7246868648</v>
      </c>
      <c r="D30">
        <f t="shared" si="7"/>
        <v>31.25</v>
      </c>
      <c r="E30" s="738">
        <f t="shared" si="8"/>
        <v>0.032</v>
      </c>
      <c r="F30" s="739">
        <v>928.568219815755</v>
      </c>
      <c r="G30">
        <v>0.09413589105341715</v>
      </c>
      <c r="I30">
        <f t="shared" si="40"/>
        <v>27</v>
      </c>
      <c r="J30" s="712">
        <v>0.1357</v>
      </c>
      <c r="K30" s="739">
        <v>928.568219815755</v>
      </c>
      <c r="L30">
        <f t="shared" si="9"/>
        <v>2003</v>
      </c>
      <c r="M30" s="740">
        <f t="shared" si="0"/>
        <v>9347019076.620611</v>
      </c>
      <c r="N30" s="740">
        <f t="shared" si="10"/>
        <v>81786416920.43034</v>
      </c>
      <c r="O30" s="740">
        <f t="shared" si="1"/>
        <v>262504800080.74402</v>
      </c>
      <c r="P30" s="740">
        <f t="shared" si="2"/>
        <v>26061563.971145846</v>
      </c>
      <c r="Q30" s="741">
        <f t="shared" si="11"/>
        <v>28.084333403933943</v>
      </c>
      <c r="R30" s="712">
        <f t="shared" si="3"/>
        <v>0.9603610061633857</v>
      </c>
      <c r="S30" s="712">
        <f t="shared" si="4"/>
        <v>0.9726114723594251</v>
      </c>
      <c r="T30">
        <f t="shared" si="38"/>
        <v>2003</v>
      </c>
      <c r="U30" s="734">
        <f>Input!C36</f>
        <v>1843523.315523929</v>
      </c>
      <c r="V30" s="734">
        <f t="shared" si="5"/>
        <v>26795451.947450284</v>
      </c>
      <c r="X30">
        <f t="shared" si="39"/>
        <v>2003</v>
      </c>
      <c r="Y30" s="740">
        <f>O30+O95+O163+O228+O293+O421+O348</f>
        <v>273339711208.64545</v>
      </c>
      <c r="AA30" s="712">
        <f>B30+B95+B163+B228+B293+B348+B421</f>
        <v>1.0045427289617972</v>
      </c>
      <c r="AE30" s="740">
        <f t="shared" si="12"/>
        <v>86660017875.82887</v>
      </c>
      <c r="AG30" s="712">
        <f t="shared" si="13"/>
        <v>0.9726114723594251</v>
      </c>
      <c r="AH30" s="712">
        <f t="shared" si="14"/>
        <v>0</v>
      </c>
      <c r="AI30" s="712">
        <f t="shared" si="15"/>
        <v>0</v>
      </c>
      <c r="AJ30" s="712">
        <f t="shared" si="16"/>
        <v>0</v>
      </c>
      <c r="AK30" s="712">
        <f t="shared" si="17"/>
        <v>0</v>
      </c>
      <c r="AL30" s="712">
        <f t="shared" si="18"/>
        <v>0</v>
      </c>
      <c r="AM30" s="712">
        <f t="shared" si="19"/>
        <v>0.039810970379409845</v>
      </c>
      <c r="AN30" s="712">
        <f t="shared" si="20"/>
        <v>1.012422442738835</v>
      </c>
      <c r="AO30" s="712">
        <f t="shared" si="21"/>
        <v>0.9603610061633857</v>
      </c>
      <c r="AP30" s="712">
        <f t="shared" si="22"/>
        <v>0</v>
      </c>
      <c r="AQ30" s="712">
        <f t="shared" si="23"/>
        <v>0</v>
      </c>
      <c r="AR30" s="712">
        <f t="shared" si="24"/>
        <v>0</v>
      </c>
      <c r="AS30" s="712">
        <f t="shared" si="25"/>
        <v>0</v>
      </c>
      <c r="AT30" s="712">
        <f t="shared" si="26"/>
        <v>0</v>
      </c>
      <c r="AU30" s="712">
        <f t="shared" si="27"/>
        <v>0.03963899383661435</v>
      </c>
      <c r="AV30" s="712">
        <f t="shared" si="28"/>
        <v>1</v>
      </c>
      <c r="AW30" s="712">
        <f t="shared" si="29"/>
        <v>0.9630427289617971</v>
      </c>
      <c r="AX30" s="712">
        <f t="shared" si="30"/>
        <v>0</v>
      </c>
      <c r="AY30" s="712">
        <f t="shared" si="31"/>
        <v>0</v>
      </c>
      <c r="AZ30" s="712">
        <f t="shared" si="32"/>
        <v>0</v>
      </c>
      <c r="BA30" s="712">
        <f t="shared" si="33"/>
        <v>0</v>
      </c>
      <c r="BB30" s="712">
        <f t="shared" si="34"/>
        <v>0</v>
      </c>
      <c r="BC30" s="712">
        <f t="shared" si="35"/>
        <v>0.0415</v>
      </c>
      <c r="BD30" s="712">
        <f t="shared" si="36"/>
        <v>1.0045427289617972</v>
      </c>
    </row>
    <row r="31" spans="1:56" ht="12.75">
      <c r="A31">
        <f t="shared" si="37"/>
        <v>2002</v>
      </c>
      <c r="B31" s="712">
        <f>J40</f>
        <v>0.9704050742465999</v>
      </c>
      <c r="C31" s="734">
        <f>B31*Input!C37</f>
        <v>1900944.482293363</v>
      </c>
      <c r="D31">
        <f t="shared" si="7"/>
        <v>30</v>
      </c>
      <c r="E31" s="738">
        <f t="shared" si="8"/>
        <v>0.03333333333333333</v>
      </c>
      <c r="F31" s="739">
        <v>774.1865236615592</v>
      </c>
      <c r="G31">
        <v>0.08290867468924812</v>
      </c>
      <c r="I31">
        <f t="shared" si="40"/>
        <v>28</v>
      </c>
      <c r="J31" s="712">
        <v>0.129</v>
      </c>
      <c r="K31" s="739">
        <v>774.1865236615592</v>
      </c>
      <c r="L31">
        <f t="shared" si="9"/>
        <v>2002</v>
      </c>
      <c r="M31" s="740">
        <f t="shared" si="0"/>
        <v>9336825601.51612</v>
      </c>
      <c r="N31" s="740">
        <f t="shared" si="10"/>
        <v>81697224013.26605</v>
      </c>
      <c r="O31" s="740">
        <f t="shared" si="1"/>
        <v>259607157721.62164</v>
      </c>
      <c r="P31" s="740">
        <f t="shared" si="2"/>
        <v>25853139.817158654</v>
      </c>
      <c r="Q31" s="741">
        <f t="shared" si="11"/>
        <v>27.804648903313183</v>
      </c>
      <c r="R31" s="712">
        <f t="shared" si="3"/>
        <v>0.9605273677632238</v>
      </c>
      <c r="S31" s="712">
        <f t="shared" si="4"/>
        <v>0.9733069162363991</v>
      </c>
      <c r="T31">
        <f t="shared" si="38"/>
        <v>2002</v>
      </c>
      <c r="U31" s="734">
        <f>Input!C37</f>
        <v>1958918.5307684138</v>
      </c>
      <c r="V31" s="734">
        <f t="shared" si="5"/>
        <v>26562165.937470213</v>
      </c>
      <c r="X31">
        <f t="shared" si="39"/>
        <v>2002</v>
      </c>
      <c r="Y31" s="740">
        <f>O31+O96+O164+O229+O294+O422+O349</f>
        <v>270275649017.85962</v>
      </c>
      <c r="AA31" s="712">
        <f>B31+B96+B164+B229+B294+B349+B422</f>
        <v>1.0114050742465999</v>
      </c>
      <c r="AE31" s="740">
        <f t="shared" si="12"/>
        <v>86651619057.51364</v>
      </c>
      <c r="AG31" s="712">
        <f t="shared" si="13"/>
        <v>0.9733069162363991</v>
      </c>
      <c r="AH31" s="712">
        <f t="shared" si="14"/>
        <v>0</v>
      </c>
      <c r="AI31" s="712">
        <f t="shared" si="15"/>
        <v>0</v>
      </c>
      <c r="AJ31" s="712">
        <f t="shared" si="16"/>
        <v>0</v>
      </c>
      <c r="AK31" s="712">
        <f t="shared" si="17"/>
        <v>0</v>
      </c>
      <c r="AL31" s="712">
        <f t="shared" si="18"/>
        <v>0</v>
      </c>
      <c r="AM31" s="712">
        <f t="shared" si="19"/>
        <v>0.03997528950556751</v>
      </c>
      <c r="AN31" s="712">
        <f t="shared" si="20"/>
        <v>1.0132822057419666</v>
      </c>
      <c r="AO31" s="712">
        <f t="shared" si="21"/>
        <v>0.9605273677632238</v>
      </c>
      <c r="AP31" s="712">
        <f t="shared" si="22"/>
        <v>0</v>
      </c>
      <c r="AQ31" s="712">
        <f t="shared" si="23"/>
        <v>0</v>
      </c>
      <c r="AR31" s="712">
        <f t="shared" si="24"/>
        <v>0</v>
      </c>
      <c r="AS31" s="712">
        <f t="shared" si="25"/>
        <v>0</v>
      </c>
      <c r="AT31" s="712">
        <f t="shared" si="26"/>
        <v>0</v>
      </c>
      <c r="AU31" s="712">
        <f t="shared" si="27"/>
        <v>0.039472632236776245</v>
      </c>
      <c r="AV31" s="712">
        <f t="shared" si="28"/>
        <v>1</v>
      </c>
      <c r="AW31" s="712">
        <f t="shared" si="29"/>
        <v>0.9704050742465999</v>
      </c>
      <c r="AX31" s="712">
        <f t="shared" si="30"/>
        <v>0</v>
      </c>
      <c r="AY31" s="712">
        <f t="shared" si="31"/>
        <v>0</v>
      </c>
      <c r="AZ31" s="712">
        <f t="shared" si="32"/>
        <v>0</v>
      </c>
      <c r="BA31" s="712">
        <f t="shared" si="33"/>
        <v>0</v>
      </c>
      <c r="BB31" s="712">
        <f t="shared" si="34"/>
        <v>0</v>
      </c>
      <c r="BC31" s="712">
        <f t="shared" si="35"/>
        <v>0.041</v>
      </c>
      <c r="BD31" s="712">
        <f t="shared" si="36"/>
        <v>1.0114050742465999</v>
      </c>
    </row>
    <row r="32" spans="1:56" ht="12.75">
      <c r="A32">
        <f t="shared" si="37"/>
        <v>2001</v>
      </c>
      <c r="B32" s="712">
        <f>J39</f>
        <v>0.9786541889479561</v>
      </c>
      <c r="C32" s="734">
        <f>B32*Input!C38</f>
        <v>1855134.3314780798</v>
      </c>
      <c r="D32">
        <f t="shared" si="7"/>
        <v>28.75</v>
      </c>
      <c r="E32" s="738">
        <f t="shared" si="8"/>
        <v>0.034782608695652174</v>
      </c>
      <c r="F32" s="739">
        <v>645.4719864719202</v>
      </c>
      <c r="G32">
        <v>0.0716814583250791</v>
      </c>
      <c r="I32">
        <f t="shared" si="40"/>
        <v>29</v>
      </c>
      <c r="J32" s="712">
        <v>0.123</v>
      </c>
      <c r="K32" s="739">
        <v>645.4719864719202</v>
      </c>
      <c r="L32">
        <f t="shared" si="9"/>
        <v>2001</v>
      </c>
      <c r="M32" s="740">
        <f t="shared" si="0"/>
        <v>9247952468.976803</v>
      </c>
      <c r="N32" s="740">
        <f t="shared" si="10"/>
        <v>80919584103.54703</v>
      </c>
      <c r="O32" s="740">
        <f t="shared" si="1"/>
        <v>255246260062.60114</v>
      </c>
      <c r="P32" s="740">
        <f t="shared" si="2"/>
        <v>25513385.377380606</v>
      </c>
      <c r="Q32" s="741">
        <f t="shared" si="11"/>
        <v>27.600299733249134</v>
      </c>
      <c r="R32" s="712">
        <f t="shared" si="3"/>
        <v>0.9606476842891547</v>
      </c>
      <c r="S32" s="712">
        <f t="shared" si="4"/>
        <v>0.9735237706403733</v>
      </c>
      <c r="T32">
        <f t="shared" si="38"/>
        <v>2001</v>
      </c>
      <c r="U32" s="734">
        <f>Input!C38</f>
        <v>1895597.3953090943</v>
      </c>
      <c r="V32" s="734">
        <f t="shared" si="5"/>
        <v>26207254.662716843</v>
      </c>
      <c r="X32">
        <f t="shared" si="39"/>
        <v>2001</v>
      </c>
      <c r="Y32" s="740">
        <f>O32+O97+O165+O230+O295+O423+O350</f>
        <v>265702259253.84323</v>
      </c>
      <c r="AA32" s="712">
        <f>B32+B97+B165+B230+B295+B350+B423</f>
        <v>1.019154188947956</v>
      </c>
      <c r="AE32" s="740">
        <f t="shared" si="12"/>
        <v>85925872718.65323</v>
      </c>
      <c r="AG32" s="712">
        <f t="shared" si="13"/>
        <v>0.9735237706403733</v>
      </c>
      <c r="AH32" s="712">
        <f t="shared" si="14"/>
        <v>0</v>
      </c>
      <c r="AI32" s="712">
        <f t="shared" si="15"/>
        <v>0</v>
      </c>
      <c r="AJ32" s="712">
        <f t="shared" si="16"/>
        <v>0</v>
      </c>
      <c r="AK32" s="712">
        <f t="shared" si="17"/>
        <v>0</v>
      </c>
      <c r="AL32" s="712">
        <f t="shared" si="18"/>
        <v>0</v>
      </c>
      <c r="AM32" s="712">
        <f t="shared" si="19"/>
        <v>0.040145777969061214</v>
      </c>
      <c r="AN32" s="712">
        <f t="shared" si="20"/>
        <v>1.0136695486094345</v>
      </c>
      <c r="AO32" s="712">
        <f t="shared" si="21"/>
        <v>0.9606476842891547</v>
      </c>
      <c r="AP32" s="712">
        <f t="shared" si="22"/>
        <v>0</v>
      </c>
      <c r="AQ32" s="712">
        <f t="shared" si="23"/>
        <v>0</v>
      </c>
      <c r="AR32" s="712">
        <f t="shared" si="24"/>
        <v>0</v>
      </c>
      <c r="AS32" s="712">
        <f t="shared" si="25"/>
        <v>0</v>
      </c>
      <c r="AT32" s="712">
        <f t="shared" si="26"/>
        <v>0</v>
      </c>
      <c r="AU32" s="712">
        <f t="shared" si="27"/>
        <v>0.039352315710845256</v>
      </c>
      <c r="AV32" s="712">
        <f t="shared" si="28"/>
        <v>1</v>
      </c>
      <c r="AW32" s="712">
        <f t="shared" si="29"/>
        <v>0.9786541889479561</v>
      </c>
      <c r="AX32" s="712">
        <f t="shared" si="30"/>
        <v>0</v>
      </c>
      <c r="AY32" s="712">
        <f t="shared" si="31"/>
        <v>0</v>
      </c>
      <c r="AZ32" s="712">
        <f t="shared" si="32"/>
        <v>0</v>
      </c>
      <c r="BA32" s="712">
        <f t="shared" si="33"/>
        <v>0</v>
      </c>
      <c r="BB32" s="712">
        <f t="shared" si="34"/>
        <v>0</v>
      </c>
      <c r="BC32" s="712">
        <f t="shared" si="35"/>
        <v>0.0405</v>
      </c>
      <c r="BD32" s="712">
        <f t="shared" si="36"/>
        <v>1.019154188947956</v>
      </c>
    </row>
    <row r="33" spans="1:56" ht="12.75">
      <c r="A33">
        <f t="shared" si="37"/>
        <v>2000</v>
      </c>
      <c r="B33" s="712">
        <f>J38</f>
        <v>0.9731237482365634</v>
      </c>
      <c r="C33" s="734">
        <f>B33*Input!C39</f>
        <v>1552753.6206841627</v>
      </c>
      <c r="D33">
        <f>Input!E5</f>
        <v>27.5</v>
      </c>
      <c r="E33" s="738">
        <f t="shared" si="8"/>
        <v>0.03636363636363636</v>
      </c>
      <c r="F33" s="739">
        <v>538.1572432306262</v>
      </c>
      <c r="G33">
        <v>0.06045424196091009</v>
      </c>
      <c r="I33">
        <f t="shared" si="40"/>
        <v>30</v>
      </c>
      <c r="J33" s="712">
        <v>0.1179</v>
      </c>
      <c r="K33" s="739">
        <v>538.1572432306262</v>
      </c>
      <c r="L33">
        <f t="shared" si="9"/>
        <v>2000</v>
      </c>
      <c r="M33" s="740">
        <f t="shared" si="0"/>
        <v>9155232068.671677</v>
      </c>
      <c r="N33" s="740">
        <f t="shared" si="10"/>
        <v>80108280600.87717</v>
      </c>
      <c r="O33" s="740">
        <f t="shared" si="1"/>
        <v>251768881888.4711</v>
      </c>
      <c r="P33" s="740">
        <f t="shared" si="2"/>
        <v>25211004.666586686</v>
      </c>
      <c r="Q33" s="741">
        <f t="shared" si="11"/>
        <v>27.5</v>
      </c>
      <c r="R33" s="712">
        <f t="shared" si="3"/>
        <v>0.960715840192156</v>
      </c>
      <c r="S33" s="712">
        <f t="shared" si="4"/>
        <v>0.9731237482365638</v>
      </c>
      <c r="T33">
        <f t="shared" si="38"/>
        <v>2000</v>
      </c>
      <c r="U33" s="734">
        <f>Input!C39</f>
        <v>1595638.4000472394</v>
      </c>
      <c r="V33" s="734">
        <f t="shared" si="5"/>
        <v>25907295.667454988</v>
      </c>
      <c r="X33">
        <f t="shared" si="39"/>
        <v>2000</v>
      </c>
      <c r="Y33" s="740">
        <f>O33+O98+O166+O231+O296+O424+O351</f>
        <v>262063839644.94016</v>
      </c>
      <c r="AA33" s="712">
        <f>B33+B98+B166+B231+B296+B351+B424</f>
        <v>1.0131237482365634</v>
      </c>
      <c r="AE33" s="740">
        <f t="shared" si="12"/>
        <v>85169084944.31465</v>
      </c>
      <c r="AG33" s="712">
        <f t="shared" si="13"/>
        <v>0.9731237482365638</v>
      </c>
      <c r="AH33" s="712">
        <f t="shared" si="14"/>
        <v>0</v>
      </c>
      <c r="AI33" s="712">
        <f t="shared" si="15"/>
        <v>0</v>
      </c>
      <c r="AJ33" s="712">
        <f t="shared" si="16"/>
        <v>0</v>
      </c>
      <c r="AK33" s="712">
        <f t="shared" si="17"/>
        <v>0</v>
      </c>
      <c r="AL33" s="712">
        <f t="shared" si="18"/>
        <v>0</v>
      </c>
      <c r="AM33" s="712">
        <f t="shared" si="19"/>
        <v>0.040333329262174984</v>
      </c>
      <c r="AN33" s="712">
        <f t="shared" si="20"/>
        <v>1.0134570774987388</v>
      </c>
      <c r="AO33" s="712">
        <f t="shared" si="21"/>
        <v>0.960715840192156</v>
      </c>
      <c r="AP33" s="712">
        <f t="shared" si="22"/>
        <v>0</v>
      </c>
      <c r="AQ33" s="712">
        <f t="shared" si="23"/>
        <v>0</v>
      </c>
      <c r="AR33" s="712">
        <f t="shared" si="24"/>
        <v>0</v>
      </c>
      <c r="AS33" s="712">
        <f t="shared" si="25"/>
        <v>0</v>
      </c>
      <c r="AT33" s="712">
        <f t="shared" si="26"/>
        <v>0</v>
      </c>
      <c r="AU33" s="712">
        <f t="shared" si="27"/>
        <v>0.03928415980784409</v>
      </c>
      <c r="AV33" s="712">
        <f t="shared" si="28"/>
        <v>1</v>
      </c>
      <c r="AW33" s="712">
        <f t="shared" si="29"/>
        <v>0.9731237482365634</v>
      </c>
      <c r="AX33" s="712">
        <f t="shared" si="30"/>
        <v>0</v>
      </c>
      <c r="AY33" s="712">
        <f t="shared" si="31"/>
        <v>0</v>
      </c>
      <c r="AZ33" s="712">
        <f t="shared" si="32"/>
        <v>0</v>
      </c>
      <c r="BA33" s="712">
        <f t="shared" si="33"/>
        <v>0</v>
      </c>
      <c r="BB33" s="712">
        <f t="shared" si="34"/>
        <v>0</v>
      </c>
      <c r="BC33" s="712">
        <f t="shared" si="35"/>
        <v>0.04</v>
      </c>
      <c r="BD33" s="712">
        <f t="shared" si="36"/>
        <v>1.0131237482365634</v>
      </c>
    </row>
    <row r="34" spans="1:48" ht="12.75">
      <c r="A34">
        <f t="shared" si="37"/>
        <v>1999</v>
      </c>
      <c r="B34" s="712">
        <f>B33</f>
        <v>0.9731237482365634</v>
      </c>
      <c r="C34" s="734">
        <f>B34*U34</f>
        <v>1552753.6206841627</v>
      </c>
      <c r="D34">
        <v>27.5</v>
      </c>
      <c r="E34" s="738">
        <f t="shared" si="8"/>
        <v>0.03636363636363636</v>
      </c>
      <c r="F34" s="738"/>
      <c r="G34" s="738"/>
      <c r="T34">
        <v>1999</v>
      </c>
      <c r="U34" s="734">
        <f>U33</f>
        <v>1595638.4000472394</v>
      </c>
      <c r="V34" s="734">
        <f t="shared" si="5"/>
        <v>25719169.900089417</v>
      </c>
      <c r="AV34" s="712"/>
    </row>
    <row r="35" spans="1:22" ht="12.75">
      <c r="A35">
        <f t="shared" si="37"/>
        <v>1998</v>
      </c>
      <c r="B35" s="712">
        <f aca="true" t="shared" si="42" ref="B35:B63">B34</f>
        <v>0.9731237482365634</v>
      </c>
      <c r="C35" s="734">
        <f aca="true" t="shared" si="43" ref="C35:C63">B35*U35</f>
        <v>1552753.6206841627</v>
      </c>
      <c r="D35">
        <v>27.5</v>
      </c>
      <c r="E35" s="738">
        <f t="shared" si="8"/>
        <v>0.03636363636363636</v>
      </c>
      <c r="F35" s="738"/>
      <c r="G35" s="738"/>
      <c r="T35">
        <f>T34-1</f>
        <v>1998</v>
      </c>
      <c r="U35" s="734">
        <f aca="true" t="shared" si="44" ref="U35:U63">U34</f>
        <v>1595638.4000472394</v>
      </c>
      <c r="V35" s="734">
        <f t="shared" si="5"/>
        <v>25522906.376883607</v>
      </c>
    </row>
    <row r="36" spans="1:22" ht="12.75">
      <c r="A36">
        <f t="shared" si="37"/>
        <v>1997</v>
      </c>
      <c r="B36" s="712">
        <f t="shared" si="42"/>
        <v>0.9731237482365634</v>
      </c>
      <c r="C36" s="734">
        <f t="shared" si="43"/>
        <v>1552753.6206841627</v>
      </c>
      <c r="D36">
        <v>27.5</v>
      </c>
      <c r="E36" s="738">
        <f t="shared" si="8"/>
        <v>0.03636363636363636</v>
      </c>
      <c r="F36" s="738"/>
      <c r="G36" s="738"/>
      <c r="T36">
        <f aca="true" t="shared" si="45" ref="T36:T63">T35-1</f>
        <v>1997</v>
      </c>
      <c r="U36" s="734">
        <f t="shared" si="44"/>
        <v>1595638.4000472394</v>
      </c>
      <c r="V36" s="734">
        <f t="shared" si="5"/>
        <v>25317069.023277514</v>
      </c>
    </row>
    <row r="37" spans="1:22" ht="12.75">
      <c r="A37">
        <f t="shared" si="37"/>
        <v>1996</v>
      </c>
      <c r="B37" s="712">
        <f t="shared" si="42"/>
        <v>0.9731237482365634</v>
      </c>
      <c r="C37" s="734">
        <f t="shared" si="43"/>
        <v>1552753.6206841627</v>
      </c>
      <c r="D37">
        <v>27.5</v>
      </c>
      <c r="E37" s="738">
        <f t="shared" si="8"/>
        <v>0.03636363636363636</v>
      </c>
      <c r="F37" s="738"/>
      <c r="G37" s="738"/>
      <c r="J37" t="s">
        <v>493</v>
      </c>
      <c r="T37">
        <f t="shared" si="45"/>
        <v>1996</v>
      </c>
      <c r="U37" s="734">
        <f t="shared" si="44"/>
        <v>1595638.4000472394</v>
      </c>
      <c r="V37" s="734">
        <f t="shared" si="5"/>
        <v>25100540.892391104</v>
      </c>
    </row>
    <row r="38" spans="1:22" ht="12.75">
      <c r="A38">
        <f t="shared" si="37"/>
        <v>1995</v>
      </c>
      <c r="B38" s="712">
        <f t="shared" si="42"/>
        <v>0.9731237482365634</v>
      </c>
      <c r="C38" s="734">
        <f t="shared" si="43"/>
        <v>1552753.6206841627</v>
      </c>
      <c r="D38">
        <v>27.5</v>
      </c>
      <c r="E38" s="738">
        <f t="shared" si="8"/>
        <v>0.03636363636363636</v>
      </c>
      <c r="F38" s="738"/>
      <c r="G38" s="738"/>
      <c r="J38">
        <v>0.9731237482365634</v>
      </c>
      <c r="T38">
        <f t="shared" si="45"/>
        <v>1995</v>
      </c>
      <c r="U38" s="734">
        <f t="shared" si="44"/>
        <v>1595638.4000472394</v>
      </c>
      <c r="V38" s="734"/>
    </row>
    <row r="39" spans="1:22" ht="12.75">
      <c r="A39">
        <f t="shared" si="37"/>
        <v>1994</v>
      </c>
      <c r="B39" s="712">
        <f t="shared" si="42"/>
        <v>0.9731237482365634</v>
      </c>
      <c r="C39" s="734">
        <f t="shared" si="43"/>
        <v>1552753.6206841627</v>
      </c>
      <c r="D39">
        <v>27.5</v>
      </c>
      <c r="E39" s="738">
        <f t="shared" si="8"/>
        <v>0.03636363636363636</v>
      </c>
      <c r="F39" s="738"/>
      <c r="G39" s="738"/>
      <c r="J39">
        <v>0.9786541889479561</v>
      </c>
      <c r="T39">
        <f t="shared" si="45"/>
        <v>1994</v>
      </c>
      <c r="U39" s="734">
        <f t="shared" si="44"/>
        <v>1595638.4000472394</v>
      </c>
      <c r="V39" s="734"/>
    </row>
    <row r="40" spans="1:22" ht="12.75">
      <c r="A40">
        <f t="shared" si="37"/>
        <v>1993</v>
      </c>
      <c r="B40" s="712">
        <f t="shared" si="42"/>
        <v>0.9731237482365634</v>
      </c>
      <c r="C40" s="734">
        <f t="shared" si="43"/>
        <v>1552753.6206841627</v>
      </c>
      <c r="D40">
        <v>27.5</v>
      </c>
      <c r="E40" s="738">
        <f t="shared" si="8"/>
        <v>0.03636363636363636</v>
      </c>
      <c r="F40" s="738"/>
      <c r="G40" s="738"/>
      <c r="J40">
        <v>0.9704050742465999</v>
      </c>
      <c r="T40">
        <f t="shared" si="45"/>
        <v>1993</v>
      </c>
      <c r="U40" s="734">
        <f t="shared" si="44"/>
        <v>1595638.4000472394</v>
      </c>
      <c r="V40" s="734"/>
    </row>
    <row r="41" spans="1:22" ht="12.75">
      <c r="A41">
        <f t="shared" si="37"/>
        <v>1992</v>
      </c>
      <c r="B41" s="712">
        <f t="shared" si="42"/>
        <v>0.9731237482365634</v>
      </c>
      <c r="C41" s="734">
        <f t="shared" si="43"/>
        <v>1552753.6206841627</v>
      </c>
      <c r="D41">
        <v>27.5</v>
      </c>
      <c r="E41" s="738">
        <f t="shared" si="8"/>
        <v>0.03636363636363636</v>
      </c>
      <c r="F41" s="738"/>
      <c r="G41" s="738"/>
      <c r="J41">
        <v>0.9630427289617971</v>
      </c>
      <c r="T41">
        <f t="shared" si="45"/>
        <v>1992</v>
      </c>
      <c r="U41" s="734">
        <f t="shared" si="44"/>
        <v>1595638.4000472394</v>
      </c>
      <c r="V41" s="734"/>
    </row>
    <row r="42" spans="1:22" ht="12.75">
      <c r="A42">
        <f t="shared" si="37"/>
        <v>1991</v>
      </c>
      <c r="B42" s="712">
        <f t="shared" si="42"/>
        <v>0.9731237482365634</v>
      </c>
      <c r="C42" s="734">
        <f t="shared" si="43"/>
        <v>1552753.6206841627</v>
      </c>
      <c r="D42">
        <v>27.5</v>
      </c>
      <c r="E42" s="738">
        <f t="shared" si="8"/>
        <v>0.03636363636363636</v>
      </c>
      <c r="F42" s="738"/>
      <c r="G42" s="738"/>
      <c r="J42">
        <v>0.9549885158535093</v>
      </c>
      <c r="T42">
        <f t="shared" si="45"/>
        <v>1991</v>
      </c>
      <c r="U42" s="734">
        <f t="shared" si="44"/>
        <v>1595638.4000472394</v>
      </c>
      <c r="V42" s="734"/>
    </row>
    <row r="43" spans="1:22" ht="12.75">
      <c r="A43">
        <f t="shared" si="37"/>
        <v>1990</v>
      </c>
      <c r="B43" s="712">
        <f t="shared" si="42"/>
        <v>0.9731237482365634</v>
      </c>
      <c r="C43" s="734">
        <f t="shared" si="43"/>
        <v>1552753.6206841627</v>
      </c>
      <c r="D43">
        <v>27.5</v>
      </c>
      <c r="E43" s="738">
        <f t="shared" si="8"/>
        <v>0.03636363636363636</v>
      </c>
      <c r="F43" s="738"/>
      <c r="G43" s="738"/>
      <c r="J43">
        <v>0.944283296137525</v>
      </c>
      <c r="T43">
        <f t="shared" si="45"/>
        <v>1990</v>
      </c>
      <c r="U43" s="734">
        <f t="shared" si="44"/>
        <v>1595638.4000472394</v>
      </c>
      <c r="V43" s="734"/>
    </row>
    <row r="44" spans="1:22" ht="12.75">
      <c r="A44">
        <f t="shared" si="37"/>
        <v>1989</v>
      </c>
      <c r="B44" s="712">
        <f t="shared" si="42"/>
        <v>0.9731237482365634</v>
      </c>
      <c r="C44" s="734">
        <f t="shared" si="43"/>
        <v>1552753.6206841627</v>
      </c>
      <c r="D44">
        <v>27.5</v>
      </c>
      <c r="E44" s="738">
        <f t="shared" si="8"/>
        <v>0.03636363636363636</v>
      </c>
      <c r="F44" s="738"/>
      <c r="G44" s="738"/>
      <c r="J44">
        <v>0.9429606296240725</v>
      </c>
      <c r="T44">
        <f t="shared" si="45"/>
        <v>1989</v>
      </c>
      <c r="U44" s="734">
        <f t="shared" si="44"/>
        <v>1595638.4000472394</v>
      </c>
      <c r="V44" s="734"/>
    </row>
    <row r="45" spans="1:22" ht="12.75">
      <c r="A45">
        <f t="shared" si="37"/>
        <v>1988</v>
      </c>
      <c r="B45" s="712">
        <f t="shared" si="42"/>
        <v>0.9731237482365634</v>
      </c>
      <c r="C45" s="734">
        <f t="shared" si="43"/>
        <v>1552753.6206841627</v>
      </c>
      <c r="D45">
        <v>27.5</v>
      </c>
      <c r="E45" s="738">
        <f t="shared" si="8"/>
        <v>0.03636363636363636</v>
      </c>
      <c r="F45" s="738"/>
      <c r="G45" s="738"/>
      <c r="J45">
        <v>0.9310669836941831</v>
      </c>
      <c r="T45">
        <f t="shared" si="45"/>
        <v>1988</v>
      </c>
      <c r="U45" s="734">
        <f t="shared" si="44"/>
        <v>1595638.4000472394</v>
      </c>
      <c r="V45" s="734"/>
    </row>
    <row r="46" spans="1:22" ht="12.75">
      <c r="A46">
        <f t="shared" si="37"/>
        <v>1987</v>
      </c>
      <c r="B46" s="712">
        <f t="shared" si="42"/>
        <v>0.9731237482365634</v>
      </c>
      <c r="C46" s="734">
        <f t="shared" si="43"/>
        <v>1552753.6206841627</v>
      </c>
      <c r="D46">
        <v>27.5</v>
      </c>
      <c r="E46" s="738">
        <f t="shared" si="8"/>
        <v>0.03636363636363636</v>
      </c>
      <c r="F46" s="738"/>
      <c r="G46" s="738"/>
      <c r="T46">
        <f t="shared" si="45"/>
        <v>1987</v>
      </c>
      <c r="U46" s="734">
        <f t="shared" si="44"/>
        <v>1595638.4000472394</v>
      </c>
      <c r="V46" s="734"/>
    </row>
    <row r="47" spans="1:22" ht="12.75">
      <c r="A47">
        <f t="shared" si="37"/>
        <v>1986</v>
      </c>
      <c r="B47" s="712">
        <f t="shared" si="42"/>
        <v>0.9731237482365634</v>
      </c>
      <c r="C47" s="734">
        <f t="shared" si="43"/>
        <v>1552753.6206841627</v>
      </c>
      <c r="D47">
        <v>27.5</v>
      </c>
      <c r="E47" s="738">
        <f t="shared" si="8"/>
        <v>0.03636363636363636</v>
      </c>
      <c r="F47" s="738"/>
      <c r="G47" s="738"/>
      <c r="T47">
        <f t="shared" si="45"/>
        <v>1986</v>
      </c>
      <c r="U47" s="734">
        <f t="shared" si="44"/>
        <v>1595638.4000472394</v>
      </c>
      <c r="V47" s="734"/>
    </row>
    <row r="48" spans="1:22" ht="12.75">
      <c r="A48">
        <f t="shared" si="37"/>
        <v>1985</v>
      </c>
      <c r="B48" s="712">
        <f t="shared" si="42"/>
        <v>0.9731237482365634</v>
      </c>
      <c r="C48" s="734">
        <f t="shared" si="43"/>
        <v>1552753.6206841627</v>
      </c>
      <c r="D48">
        <v>27.5</v>
      </c>
      <c r="E48" s="738">
        <f t="shared" si="8"/>
        <v>0.03636363636363636</v>
      </c>
      <c r="F48" s="738"/>
      <c r="G48" s="738"/>
      <c r="T48">
        <f t="shared" si="45"/>
        <v>1985</v>
      </c>
      <c r="U48" s="734">
        <f t="shared" si="44"/>
        <v>1595638.4000472394</v>
      </c>
      <c r="V48" s="734"/>
    </row>
    <row r="49" spans="1:22" ht="12.75">
      <c r="A49">
        <f t="shared" si="37"/>
        <v>1984</v>
      </c>
      <c r="B49" s="712">
        <f t="shared" si="42"/>
        <v>0.9731237482365634</v>
      </c>
      <c r="C49" s="734">
        <f t="shared" si="43"/>
        <v>1552753.6206841627</v>
      </c>
      <c r="D49">
        <v>27.5</v>
      </c>
      <c r="E49" s="738">
        <f t="shared" si="8"/>
        <v>0.03636363636363636</v>
      </c>
      <c r="F49" s="738"/>
      <c r="G49" s="738"/>
      <c r="T49">
        <f t="shared" si="45"/>
        <v>1984</v>
      </c>
      <c r="U49" s="734">
        <f t="shared" si="44"/>
        <v>1595638.4000472394</v>
      </c>
      <c r="V49" s="734"/>
    </row>
    <row r="50" spans="1:22" ht="12.75">
      <c r="A50">
        <f t="shared" si="37"/>
        <v>1983</v>
      </c>
      <c r="B50" s="712">
        <f t="shared" si="42"/>
        <v>0.9731237482365634</v>
      </c>
      <c r="C50" s="734">
        <f t="shared" si="43"/>
        <v>1552753.6206841627</v>
      </c>
      <c r="D50">
        <v>27.5</v>
      </c>
      <c r="E50" s="738">
        <f t="shared" si="8"/>
        <v>0.03636363636363636</v>
      </c>
      <c r="F50" s="738"/>
      <c r="G50" s="738"/>
      <c r="T50">
        <f t="shared" si="45"/>
        <v>1983</v>
      </c>
      <c r="U50" s="734">
        <f t="shared" si="44"/>
        <v>1595638.4000472394</v>
      </c>
      <c r="V50" s="734"/>
    </row>
    <row r="51" spans="1:22" ht="12.75">
      <c r="A51">
        <f t="shared" si="37"/>
        <v>1982</v>
      </c>
      <c r="B51" s="712">
        <f t="shared" si="42"/>
        <v>0.9731237482365634</v>
      </c>
      <c r="C51" s="734">
        <f t="shared" si="43"/>
        <v>1552753.6206841627</v>
      </c>
      <c r="D51">
        <v>27.5</v>
      </c>
      <c r="E51" s="738">
        <f t="shared" si="8"/>
        <v>0.03636363636363636</v>
      </c>
      <c r="F51" s="738"/>
      <c r="G51" s="738"/>
      <c r="T51">
        <f t="shared" si="45"/>
        <v>1982</v>
      </c>
      <c r="U51" s="734">
        <f t="shared" si="44"/>
        <v>1595638.4000472394</v>
      </c>
      <c r="V51" s="734"/>
    </row>
    <row r="52" spans="1:22" ht="12.75">
      <c r="A52">
        <f t="shared" si="37"/>
        <v>1981</v>
      </c>
      <c r="B52" s="712">
        <f t="shared" si="42"/>
        <v>0.9731237482365634</v>
      </c>
      <c r="C52" s="734">
        <f t="shared" si="43"/>
        <v>1552753.6206841627</v>
      </c>
      <c r="D52">
        <v>27.5</v>
      </c>
      <c r="E52" s="738">
        <f t="shared" si="8"/>
        <v>0.03636363636363636</v>
      </c>
      <c r="F52" s="738"/>
      <c r="G52" s="738"/>
      <c r="T52">
        <f t="shared" si="45"/>
        <v>1981</v>
      </c>
      <c r="U52" s="734">
        <f t="shared" si="44"/>
        <v>1595638.4000472394</v>
      </c>
      <c r="V52" s="734"/>
    </row>
    <row r="53" spans="1:21" ht="12.75">
      <c r="A53">
        <f t="shared" si="37"/>
        <v>1980</v>
      </c>
      <c r="B53" s="712">
        <f t="shared" si="42"/>
        <v>0.9731237482365634</v>
      </c>
      <c r="C53" s="734">
        <f t="shared" si="43"/>
        <v>1552753.6206841627</v>
      </c>
      <c r="D53">
        <v>27.5</v>
      </c>
      <c r="E53" s="738">
        <f t="shared" si="8"/>
        <v>0.03636363636363636</v>
      </c>
      <c r="F53" s="738"/>
      <c r="G53" s="738"/>
      <c r="T53">
        <f t="shared" si="45"/>
        <v>1980</v>
      </c>
      <c r="U53" s="734">
        <f t="shared" si="44"/>
        <v>1595638.4000472394</v>
      </c>
    </row>
    <row r="54" spans="1:21" ht="12.75">
      <c r="A54">
        <f t="shared" si="37"/>
        <v>1979</v>
      </c>
      <c r="B54" s="712">
        <f t="shared" si="42"/>
        <v>0.9731237482365634</v>
      </c>
      <c r="C54" s="734">
        <f t="shared" si="43"/>
        <v>1552753.6206841627</v>
      </c>
      <c r="D54">
        <v>27.5</v>
      </c>
      <c r="E54" s="738">
        <f t="shared" si="8"/>
        <v>0.03636363636363636</v>
      </c>
      <c r="F54" s="738"/>
      <c r="G54" s="738"/>
      <c r="T54">
        <f t="shared" si="45"/>
        <v>1979</v>
      </c>
      <c r="U54" s="734">
        <f t="shared" si="44"/>
        <v>1595638.4000472394</v>
      </c>
    </row>
    <row r="55" spans="1:21" ht="12.75">
      <c r="A55">
        <f t="shared" si="37"/>
        <v>1978</v>
      </c>
      <c r="B55" s="712">
        <f t="shared" si="42"/>
        <v>0.9731237482365634</v>
      </c>
      <c r="C55" s="734">
        <f t="shared" si="43"/>
        <v>1552753.6206841627</v>
      </c>
      <c r="D55">
        <v>27.5</v>
      </c>
      <c r="E55" s="738">
        <f t="shared" si="8"/>
        <v>0.03636363636363636</v>
      </c>
      <c r="F55" s="738"/>
      <c r="G55" s="738"/>
      <c r="T55">
        <f t="shared" si="45"/>
        <v>1978</v>
      </c>
      <c r="U55" s="734">
        <f t="shared" si="44"/>
        <v>1595638.4000472394</v>
      </c>
    </row>
    <row r="56" spans="1:21" ht="12.75">
      <c r="A56">
        <f t="shared" si="37"/>
        <v>1977</v>
      </c>
      <c r="B56" s="712">
        <f t="shared" si="42"/>
        <v>0.9731237482365634</v>
      </c>
      <c r="C56" s="734">
        <f t="shared" si="43"/>
        <v>1552753.6206841627</v>
      </c>
      <c r="D56">
        <v>27.5</v>
      </c>
      <c r="E56" s="738">
        <f t="shared" si="8"/>
        <v>0.03636363636363636</v>
      </c>
      <c r="F56" s="738"/>
      <c r="G56" s="738"/>
      <c r="T56">
        <f t="shared" si="45"/>
        <v>1977</v>
      </c>
      <c r="U56" s="734">
        <f t="shared" si="44"/>
        <v>1595638.4000472394</v>
      </c>
    </row>
    <row r="57" spans="1:44" ht="12.75">
      <c r="A57">
        <f t="shared" si="37"/>
        <v>1976</v>
      </c>
      <c r="B57" s="712">
        <f t="shared" si="42"/>
        <v>0.9731237482365634</v>
      </c>
      <c r="C57" s="734">
        <f t="shared" si="43"/>
        <v>1552753.6206841627</v>
      </c>
      <c r="D57">
        <v>27.5</v>
      </c>
      <c r="E57" s="738">
        <f t="shared" si="8"/>
        <v>0.03636363636363636</v>
      </c>
      <c r="F57" s="738"/>
      <c r="G57" s="738"/>
      <c r="T57">
        <f t="shared" si="45"/>
        <v>1976</v>
      </c>
      <c r="U57" s="734">
        <f t="shared" si="44"/>
        <v>1595638.4000472394</v>
      </c>
      <c r="AR57">
        <v>11500</v>
      </c>
    </row>
    <row r="58" spans="1:44" ht="12.75">
      <c r="A58">
        <f t="shared" si="37"/>
        <v>1975</v>
      </c>
      <c r="B58" s="712">
        <f t="shared" si="42"/>
        <v>0.9731237482365634</v>
      </c>
      <c r="C58" s="734">
        <f t="shared" si="43"/>
        <v>1552753.6206841627</v>
      </c>
      <c r="D58">
        <v>27.5</v>
      </c>
      <c r="E58" s="738">
        <f t="shared" si="8"/>
        <v>0.03636363636363636</v>
      </c>
      <c r="F58" s="738"/>
      <c r="G58" s="738"/>
      <c r="T58">
        <f t="shared" si="45"/>
        <v>1975</v>
      </c>
      <c r="U58" s="734">
        <f t="shared" si="44"/>
        <v>1595638.4000472394</v>
      </c>
      <c r="AR58">
        <v>13043.563248580209</v>
      </c>
    </row>
    <row r="59" spans="1:44" ht="12.75">
      <c r="A59">
        <f t="shared" si="37"/>
        <v>1974</v>
      </c>
      <c r="B59" s="712">
        <f t="shared" si="42"/>
        <v>0.9731237482365634</v>
      </c>
      <c r="C59" s="734">
        <f t="shared" si="43"/>
        <v>1552753.6206841627</v>
      </c>
      <c r="D59">
        <v>27.5</v>
      </c>
      <c r="E59" s="738">
        <f t="shared" si="8"/>
        <v>0.03636363636363636</v>
      </c>
      <c r="F59" s="738"/>
      <c r="G59" s="738"/>
      <c r="T59">
        <f t="shared" si="45"/>
        <v>1974</v>
      </c>
      <c r="U59" s="734">
        <f t="shared" si="44"/>
        <v>1595638.4000472394</v>
      </c>
      <c r="AR59">
        <v>12992.603980768254</v>
      </c>
    </row>
    <row r="60" spans="1:44" ht="12.75">
      <c r="A60">
        <f t="shared" si="37"/>
        <v>1973</v>
      </c>
      <c r="B60" s="712">
        <f t="shared" si="42"/>
        <v>0.9731237482365634</v>
      </c>
      <c r="C60" s="734">
        <f t="shared" si="43"/>
        <v>1552753.6206841627</v>
      </c>
      <c r="D60">
        <v>27.5</v>
      </c>
      <c r="E60" s="738">
        <f t="shared" si="8"/>
        <v>0.03636363636363636</v>
      </c>
      <c r="F60" s="738"/>
      <c r="G60" s="738"/>
      <c r="T60">
        <f t="shared" si="45"/>
        <v>1973</v>
      </c>
      <c r="U60" s="734">
        <f t="shared" si="44"/>
        <v>1595638.4000472394</v>
      </c>
      <c r="AR60">
        <v>12924.054574087057</v>
      </c>
    </row>
    <row r="61" spans="1:44" ht="12.75">
      <c r="A61">
        <f t="shared" si="37"/>
        <v>1972</v>
      </c>
      <c r="B61" s="712">
        <f t="shared" si="42"/>
        <v>0.9731237482365634</v>
      </c>
      <c r="C61" s="734">
        <f t="shared" si="43"/>
        <v>1552753.6206841627</v>
      </c>
      <c r="D61">
        <v>27.5</v>
      </c>
      <c r="E61" s="738">
        <f t="shared" si="8"/>
        <v>0.03636363636363636</v>
      </c>
      <c r="F61" s="738"/>
      <c r="G61" s="738"/>
      <c r="T61">
        <f t="shared" si="45"/>
        <v>1972</v>
      </c>
      <c r="U61" s="734">
        <f t="shared" si="44"/>
        <v>1595638.4000472394</v>
      </c>
      <c r="AR61">
        <v>12832.160862235609</v>
      </c>
    </row>
    <row r="62" spans="1:44" ht="12.75">
      <c r="A62">
        <f t="shared" si="37"/>
        <v>1971</v>
      </c>
      <c r="B62" s="712">
        <f t="shared" si="42"/>
        <v>0.9731237482365634</v>
      </c>
      <c r="C62" s="734">
        <f t="shared" si="43"/>
        <v>1552753.6206841627</v>
      </c>
      <c r="D62">
        <v>27.5</v>
      </c>
      <c r="E62" s="738">
        <f t="shared" si="8"/>
        <v>0.03636363636363636</v>
      </c>
      <c r="F62" s="738"/>
      <c r="G62" s="738"/>
      <c r="T62">
        <f t="shared" si="45"/>
        <v>1971</v>
      </c>
      <c r="U62" s="734">
        <f t="shared" si="44"/>
        <v>1595638.4000472394</v>
      </c>
      <c r="AR62">
        <v>12709.54113249245</v>
      </c>
    </row>
    <row r="63" spans="1:44" ht="12.75">
      <c r="A63">
        <f t="shared" si="37"/>
        <v>1970</v>
      </c>
      <c r="B63" s="712">
        <f t="shared" si="42"/>
        <v>0.9731237482365634</v>
      </c>
      <c r="C63" s="734">
        <f t="shared" si="43"/>
        <v>1552753.6206841627</v>
      </c>
      <c r="D63">
        <v>27.5</v>
      </c>
      <c r="E63" s="738">
        <f t="shared" si="8"/>
        <v>0.03636363636363636</v>
      </c>
      <c r="F63" s="738"/>
      <c r="G63" s="738"/>
      <c r="T63">
        <f t="shared" si="45"/>
        <v>1970</v>
      </c>
      <c r="U63" s="734">
        <f t="shared" si="44"/>
        <v>1595638.4000472394</v>
      </c>
      <c r="AR63">
        <v>12546.92703339467</v>
      </c>
    </row>
    <row r="64" ht="12.75">
      <c r="AR64">
        <v>12333.027506051705</v>
      </c>
    </row>
    <row r="65" ht="12.75">
      <c r="AR65">
        <v>12054.670083128372</v>
      </c>
    </row>
    <row r="66" spans="1:44" ht="12.75">
      <c r="A66" s="742" t="s">
        <v>494</v>
      </c>
      <c r="AR66">
        <v>11697.444116737508</v>
      </c>
    </row>
    <row r="67" spans="1:44" ht="12.75">
      <c r="A67" t="s">
        <v>308</v>
      </c>
      <c r="B67" t="s">
        <v>495</v>
      </c>
      <c r="C67" t="s">
        <v>496</v>
      </c>
      <c r="D67" t="s">
        <v>497</v>
      </c>
      <c r="E67" t="s">
        <v>498</v>
      </c>
      <c r="N67" t="s">
        <v>499</v>
      </c>
      <c r="O67" t="s">
        <v>477</v>
      </c>
      <c r="P67" t="s">
        <v>500</v>
      </c>
      <c r="R67" t="s">
        <v>501</v>
      </c>
      <c r="S67" t="s">
        <v>502</v>
      </c>
      <c r="U67" t="s">
        <v>503</v>
      </c>
      <c r="AR67">
        <v>11247.114277674948</v>
      </c>
    </row>
    <row r="68" spans="1:44" ht="12.75">
      <c r="A68">
        <v>2030</v>
      </c>
      <c r="B68" s="712">
        <f>Input!D47</f>
        <v>0.7</v>
      </c>
      <c r="C68" s="734">
        <f>B68*Input!C9</f>
        <v>1950150.4806381066</v>
      </c>
      <c r="D68" s="743">
        <f>1/E68</f>
        <v>4.694835680751174</v>
      </c>
      <c r="E68">
        <v>0.213</v>
      </c>
      <c r="N68" s="744">
        <f>O68*Input!$B$56</f>
        <v>19775947439.68221</v>
      </c>
      <c r="O68" s="744">
        <f aca="true" t="shared" si="46" ref="O68:O98">SUMPRODUCT($K$3:$K$33,$J$3:$J$33,C68:C98)</f>
        <v>203410210031.49707</v>
      </c>
      <c r="P68" s="734">
        <f aca="true" t="shared" si="47" ref="P68:P98">SUMPRODUCT(C68:C98,J$3:J$33)</f>
        <v>17164414.65481635</v>
      </c>
      <c r="R68" s="735">
        <f aca="true" t="shared" si="48" ref="R68:R98">O68/Y3</f>
        <v>0.49837822741791377</v>
      </c>
      <c r="S68" s="712">
        <f>P68/V3</f>
        <v>0.43483142300844674</v>
      </c>
      <c r="U68" s="740">
        <f>SUMPRODUCT(O68:O98,E68:E98)</f>
        <v>362722247007.50555</v>
      </c>
      <c r="AR68">
        <v>10692.018512904444</v>
      </c>
    </row>
    <row r="69" spans="1:44" ht="12.75">
      <c r="A69">
        <f>A68-1</f>
        <v>2029</v>
      </c>
      <c r="B69" s="712">
        <f aca="true" t="shared" si="49" ref="B69:B76">B70-($B$78-$B$68)/ABS($A$78-$A$68)</f>
        <v>0.67</v>
      </c>
      <c r="C69" s="734">
        <f>B69*Input!C10</f>
        <v>1842675.1675045947</v>
      </c>
      <c r="D69" s="743">
        <f aca="true" t="shared" si="50" ref="D69:D98">1/E69</f>
        <v>4.694835680751174</v>
      </c>
      <c r="E69">
        <f>E68</f>
        <v>0.213</v>
      </c>
      <c r="N69" s="744">
        <f>O69*Input!$B$56</f>
        <v>18283105580.26896</v>
      </c>
      <c r="O69" s="744">
        <f t="shared" si="46"/>
        <v>188055230094.72092</v>
      </c>
      <c r="P69" s="734">
        <f t="shared" si="47"/>
        <v>15775629.704805622</v>
      </c>
      <c r="R69" s="735">
        <f t="shared" si="48"/>
        <v>0.46780656929552106</v>
      </c>
      <c r="S69" s="712">
        <f aca="true" t="shared" si="51" ref="S69:S98">P69/V4</f>
        <v>0.40585479447201694</v>
      </c>
      <c r="U69" s="740">
        <f aca="true" t="shared" si="52" ref="U69:U98">SUMPRODUCT(O69:O99,E69:E99)</f>
        <v>319395872270.7967</v>
      </c>
      <c r="AR69">
        <v>10026.412479945611</v>
      </c>
    </row>
    <row r="70" spans="1:44" ht="12.75">
      <c r="A70">
        <f aca="true" t="shared" si="53" ref="A70:A128">A69-1</f>
        <v>2028</v>
      </c>
      <c r="B70" s="712">
        <f t="shared" si="49"/>
        <v>0.64</v>
      </c>
      <c r="C70" s="734">
        <f>B70*Input!C11</f>
        <v>1737339.9232121464</v>
      </c>
      <c r="D70" s="743">
        <f t="shared" si="50"/>
        <v>4.694835680751174</v>
      </c>
      <c r="E70">
        <f aca="true" t="shared" si="54" ref="E70:E98">E69</f>
        <v>0.213</v>
      </c>
      <c r="N70" s="744">
        <f>O70*Input!$B$56</f>
        <v>16822223172.091639</v>
      </c>
      <c r="O70" s="744">
        <f t="shared" si="46"/>
        <v>173028976693.46072</v>
      </c>
      <c r="P70" s="734">
        <f t="shared" si="47"/>
        <v>14429048.382570451</v>
      </c>
      <c r="R70" s="735">
        <f t="shared" si="48"/>
        <v>0.4370684545156045</v>
      </c>
      <c r="S70" s="712">
        <f t="shared" si="51"/>
        <v>0.37699056077801435</v>
      </c>
      <c r="U70" s="740">
        <f t="shared" si="52"/>
        <v>279340108260.62115</v>
      </c>
      <c r="AR70">
        <v>9254.210083266022</v>
      </c>
    </row>
    <row r="71" spans="1:44" ht="12.75">
      <c r="A71">
        <f t="shared" si="53"/>
        <v>2027</v>
      </c>
      <c r="B71" s="712">
        <f t="shared" si="49"/>
        <v>0.61</v>
      </c>
      <c r="C71" s="734">
        <f>B71*Input!C12</f>
        <v>1634144.7477607531</v>
      </c>
      <c r="D71" s="743">
        <f t="shared" si="50"/>
        <v>4.694835680751174</v>
      </c>
      <c r="E71">
        <f t="shared" si="54"/>
        <v>0.213</v>
      </c>
      <c r="N71" s="744">
        <f>O71*Input!$B$56</f>
        <v>15394492443.543285</v>
      </c>
      <c r="O71" s="744">
        <f t="shared" si="46"/>
        <v>158343712776.36014</v>
      </c>
      <c r="P71" s="734">
        <f t="shared" si="47"/>
        <v>13126064.389181247</v>
      </c>
      <c r="R71" s="735">
        <f t="shared" si="48"/>
        <v>0.40618189342023553</v>
      </c>
      <c r="S71" s="712">
        <f t="shared" si="51"/>
        <v>0.3482915311668904</v>
      </c>
      <c r="U71" s="740">
        <f t="shared" si="52"/>
        <v>242484936224.9139</v>
      </c>
      <c r="AR71">
        <v>8391.912601586955</v>
      </c>
    </row>
    <row r="72" spans="1:44" ht="12.75">
      <c r="A72">
        <f t="shared" si="53"/>
        <v>2026</v>
      </c>
      <c r="B72" s="712">
        <f t="shared" si="49"/>
        <v>0.58</v>
      </c>
      <c r="C72" s="734">
        <f>B72*Input!C13</f>
        <v>1533089.6411504326</v>
      </c>
      <c r="D72" s="743">
        <f t="shared" si="50"/>
        <v>4.694835680751174</v>
      </c>
      <c r="E72">
        <f t="shared" si="54"/>
        <v>0.213</v>
      </c>
      <c r="N72" s="744">
        <f>O72*Input!$B$56</f>
        <v>14001717786.277315</v>
      </c>
      <c r="O72" s="744">
        <f t="shared" si="46"/>
        <v>144017997842.84744</v>
      </c>
      <c r="P72" s="734">
        <f t="shared" si="47"/>
        <v>11868435.651584383</v>
      </c>
      <c r="R72" s="735">
        <f t="shared" si="48"/>
        <v>0.3751859401203491</v>
      </c>
      <c r="S72" s="712">
        <f t="shared" si="51"/>
        <v>0.3198263109967362</v>
      </c>
      <c r="U72" s="740">
        <f t="shared" si="52"/>
        <v>208757725403.5492</v>
      </c>
      <c r="AR72">
        <v>7469.127784907404</v>
      </c>
    </row>
    <row r="73" spans="1:44" ht="12.75">
      <c r="A73">
        <f t="shared" si="53"/>
        <v>2025</v>
      </c>
      <c r="B73" s="712">
        <f t="shared" si="49"/>
        <v>0.5499999999999999</v>
      </c>
      <c r="C73" s="734">
        <f>B73*Input!C14</f>
        <v>1434174.6033811758</v>
      </c>
      <c r="D73" s="743">
        <f t="shared" si="50"/>
        <v>4.694835680751174</v>
      </c>
      <c r="E73">
        <f t="shared" si="54"/>
        <v>0.213</v>
      </c>
      <c r="N73" s="744">
        <f>O73*Input!$B$56</f>
        <v>12646241165.982338</v>
      </c>
      <c r="O73" s="744">
        <f t="shared" si="46"/>
        <v>130075920737.92287</v>
      </c>
      <c r="P73" s="734">
        <f t="shared" si="47"/>
        <v>10658203.85454528</v>
      </c>
      <c r="R73" s="735">
        <f t="shared" si="48"/>
        <v>0.3441495135418249</v>
      </c>
      <c r="S73" s="712">
        <f t="shared" si="51"/>
        <v>0.29168607245745565</v>
      </c>
      <c r="U73" s="740">
        <f t="shared" si="52"/>
        <v>178081891863.0227</v>
      </c>
      <c r="AR73">
        <v>6525.515324308313</v>
      </c>
    </row>
    <row r="74" spans="1:44" ht="12.75">
      <c r="A74">
        <f t="shared" si="53"/>
        <v>2024</v>
      </c>
      <c r="B74" s="712">
        <f t="shared" si="49"/>
        <v>0.5199999999999999</v>
      </c>
      <c r="C74" s="734">
        <f>B74*Input!C15</f>
        <v>1337399.6344529837</v>
      </c>
      <c r="D74" s="743">
        <f t="shared" si="50"/>
        <v>4.694835680751174</v>
      </c>
      <c r="E74">
        <f t="shared" si="54"/>
        <v>0.213</v>
      </c>
      <c r="N74" s="744">
        <f>O74*Input!$B$56</f>
        <v>11331212612.367874</v>
      </c>
      <c r="O74" s="744">
        <f t="shared" si="46"/>
        <v>116549881841.22806</v>
      </c>
      <c r="P74" s="734">
        <f t="shared" si="47"/>
        <v>9497842.061511785</v>
      </c>
      <c r="R74" s="735">
        <f t="shared" si="48"/>
        <v>0.31316960426157253</v>
      </c>
      <c r="S74" s="712">
        <f t="shared" si="51"/>
        <v>0.2639612667559767</v>
      </c>
      <c r="U74" s="740">
        <f t="shared" si="52"/>
        <v>150375720745.84515</v>
      </c>
      <c r="AR74">
        <v>5604.427092706827</v>
      </c>
    </row>
    <row r="75" spans="1:44" ht="12.75">
      <c r="A75">
        <f t="shared" si="53"/>
        <v>2023</v>
      </c>
      <c r="B75" s="712">
        <f t="shared" si="49"/>
        <v>0.48999999999999994</v>
      </c>
      <c r="C75" s="734">
        <f>B75*Input!C16</f>
        <v>1242764.7343658544</v>
      </c>
      <c r="D75" s="743">
        <f t="shared" si="50"/>
        <v>4.694835680751174</v>
      </c>
      <c r="E75">
        <f t="shared" si="54"/>
        <v>0.213</v>
      </c>
      <c r="N75" s="744">
        <f>O75*Input!$B$56</f>
        <v>10060700044.875055</v>
      </c>
      <c r="O75" s="744">
        <f t="shared" si="46"/>
        <v>103481722705.50961</v>
      </c>
      <c r="P75" s="734">
        <f t="shared" si="47"/>
        <v>8390344.310242355</v>
      </c>
      <c r="R75" s="735">
        <f t="shared" si="48"/>
        <v>0.2823861277405881</v>
      </c>
      <c r="S75" s="712">
        <f t="shared" si="51"/>
        <v>0.23678354611076358</v>
      </c>
      <c r="U75" s="740">
        <f t="shared" si="52"/>
        <v>125550595913.66357</v>
      </c>
      <c r="AR75">
        <v>4745.227219507466</v>
      </c>
    </row>
    <row r="76" spans="1:44" ht="12.75">
      <c r="A76">
        <f t="shared" si="53"/>
        <v>2022</v>
      </c>
      <c r="B76" s="712">
        <f t="shared" si="49"/>
        <v>0.45999999999999996</v>
      </c>
      <c r="C76" s="734">
        <f>B76*Input!C17</f>
        <v>1150269.9031197897</v>
      </c>
      <c r="D76" s="743">
        <f t="shared" si="50"/>
        <v>4.694835680751174</v>
      </c>
      <c r="E76">
        <f t="shared" si="54"/>
        <v>0.213</v>
      </c>
      <c r="N76" s="744">
        <f>O76*Input!$B$56</f>
        <v>8839753831.446514</v>
      </c>
      <c r="O76" s="744">
        <f t="shared" si="46"/>
        <v>90923390091.19864</v>
      </c>
      <c r="P76" s="734">
        <f t="shared" si="47"/>
        <v>7338943.06423579</v>
      </c>
      <c r="R76" s="735">
        <f t="shared" si="48"/>
        <v>0.25197542215146895</v>
      </c>
      <c r="S76" s="712">
        <f t="shared" si="51"/>
        <v>0.2103093239960501</v>
      </c>
      <c r="U76" s="740">
        <f t="shared" si="52"/>
        <v>103508988977.39001</v>
      </c>
      <c r="AR76">
        <v>3977.035659323474</v>
      </c>
    </row>
    <row r="77" spans="1:44" ht="12.75">
      <c r="A77">
        <f t="shared" si="53"/>
        <v>2021</v>
      </c>
      <c r="B77" s="712">
        <f>B78-($B$78-$B$68)/ABS($A$78-$A$68)</f>
        <v>0.43</v>
      </c>
      <c r="C77" s="734">
        <f>B77*Input!C18</f>
        <v>1059915.1407147883</v>
      </c>
      <c r="D77" s="743">
        <f t="shared" si="50"/>
        <v>4.694835680751174</v>
      </c>
      <c r="E77">
        <f t="shared" si="54"/>
        <v>0.213</v>
      </c>
      <c r="N77" s="744">
        <f>O77*Input!$B$56</f>
        <v>7673270273.4753</v>
      </c>
      <c r="O77" s="744">
        <f t="shared" si="46"/>
        <v>78925246070.5941</v>
      </c>
      <c r="P77" s="734">
        <f t="shared" si="47"/>
        <v>6346132.116120752</v>
      </c>
      <c r="R77" s="735">
        <f t="shared" si="48"/>
        <v>0.22212653332584717</v>
      </c>
      <c r="S77" s="712">
        <f t="shared" si="51"/>
        <v>0.1846685065312401</v>
      </c>
      <c r="U77" s="740">
        <f t="shared" si="52"/>
        <v>84142306887.96472</v>
      </c>
      <c r="AR77">
        <v>3315.82251671355</v>
      </c>
    </row>
    <row r="78" spans="1:44" ht="12.75">
      <c r="A78">
        <f t="shared" si="53"/>
        <v>2020</v>
      </c>
      <c r="B78" s="712">
        <f>Input!C47</f>
        <v>0.4</v>
      </c>
      <c r="C78" s="734">
        <f>B78*Input!C19</f>
        <v>929079.3184475985</v>
      </c>
      <c r="D78" s="743">
        <f t="shared" si="50"/>
        <v>4.694835680751174</v>
      </c>
      <c r="E78">
        <f t="shared" si="54"/>
        <v>0.213</v>
      </c>
      <c r="N78" s="744">
        <f>O78*Input!$B$56</f>
        <v>6572197833.168325</v>
      </c>
      <c r="O78" s="744">
        <f t="shared" si="46"/>
        <v>67599903655.22541</v>
      </c>
      <c r="P78" s="734">
        <f t="shared" si="47"/>
        <v>5413563.684482186</v>
      </c>
      <c r="R78" s="735">
        <f t="shared" si="48"/>
        <v>0.19312869423590343</v>
      </c>
      <c r="S78" s="712">
        <f t="shared" si="51"/>
        <v>0.15997613585166004</v>
      </c>
      <c r="U78" s="740">
        <f t="shared" si="52"/>
        <v>67331229474.92817</v>
      </c>
      <c r="AR78">
        <v>2764.5412071097358</v>
      </c>
    </row>
    <row r="79" spans="1:44" ht="12.75">
      <c r="A79">
        <f t="shared" si="53"/>
        <v>2019</v>
      </c>
      <c r="B79" s="712">
        <f aca="true" t="shared" si="55" ref="B79:B88">B$90+(ABS(A79-A$90)*($B$78-B$90)/(A$78-A$90))</f>
        <v>0.3666666666666667</v>
      </c>
      <c r="C79" s="734">
        <f>B79*Input!C20</f>
        <v>844890.9996758937</v>
      </c>
      <c r="D79" s="743">
        <f t="shared" si="50"/>
        <v>4.694835680751174</v>
      </c>
      <c r="E79">
        <f t="shared" si="54"/>
        <v>0.213</v>
      </c>
      <c r="N79" s="744">
        <f>O79*Input!$B$56</f>
        <v>5584201854.061233</v>
      </c>
      <c r="O79" s="744">
        <f t="shared" si="46"/>
        <v>57437636070.65512</v>
      </c>
      <c r="P79" s="734">
        <f t="shared" si="47"/>
        <v>4587247.611181086</v>
      </c>
      <c r="R79" s="735">
        <f t="shared" si="48"/>
        <v>0.16598927987806184</v>
      </c>
      <c r="S79" s="712">
        <f t="shared" si="51"/>
        <v>0.13722027889897737</v>
      </c>
      <c r="U79" s="740">
        <f t="shared" si="52"/>
        <v>52932449996.36516</v>
      </c>
      <c r="AR79">
        <v>2304.9147073718354</v>
      </c>
    </row>
    <row r="80" spans="1:44" ht="12.75">
      <c r="A80">
        <f t="shared" si="53"/>
        <v>2018</v>
      </c>
      <c r="B80" s="712">
        <f t="shared" si="55"/>
        <v>0.3333333333333333</v>
      </c>
      <c r="C80" s="734">
        <f>B80*Input!C21</f>
        <v>760042.0038373626</v>
      </c>
      <c r="D80" s="743">
        <f t="shared" si="50"/>
        <v>4.694835680751174</v>
      </c>
      <c r="E80">
        <f t="shared" si="54"/>
        <v>0.213</v>
      </c>
      <c r="N80" s="744">
        <f>O80*Input!$B$56</f>
        <v>4664271635.767314</v>
      </c>
      <c r="O80" s="744">
        <f t="shared" si="46"/>
        <v>47975475054.6925</v>
      </c>
      <c r="P80" s="734">
        <f t="shared" si="47"/>
        <v>3824086.0445597363</v>
      </c>
      <c r="R80" s="735">
        <f t="shared" si="48"/>
        <v>0.14031804463831923</v>
      </c>
      <c r="S80" s="712">
        <f t="shared" si="51"/>
        <v>0.11584332368624667</v>
      </c>
      <c r="U80" s="740">
        <f t="shared" si="52"/>
        <v>40698233513.315605</v>
      </c>
      <c r="AR80">
        <v>1921.7046917572368</v>
      </c>
    </row>
    <row r="81" spans="1:44" ht="12.75">
      <c r="A81">
        <f t="shared" si="53"/>
        <v>2017</v>
      </c>
      <c r="B81" s="712">
        <f t="shared" si="55"/>
        <v>0.3</v>
      </c>
      <c r="C81" s="734">
        <f>B81*Input!C22</f>
        <v>676876.9099688866</v>
      </c>
      <c r="D81" s="743">
        <f t="shared" si="50"/>
        <v>4.694835680751174</v>
      </c>
      <c r="E81">
        <f t="shared" si="54"/>
        <v>0.213</v>
      </c>
      <c r="N81" s="744">
        <f>O81*Input!$B$56</f>
        <v>3819450145.70858</v>
      </c>
      <c r="O81" s="744">
        <f t="shared" si="46"/>
        <v>39285862723.545906</v>
      </c>
      <c r="P81" s="734">
        <f t="shared" si="47"/>
        <v>3128033.130802323</v>
      </c>
      <c r="R81" s="735">
        <f t="shared" si="48"/>
        <v>0.11633691776444058</v>
      </c>
      <c r="S81" s="712">
        <f t="shared" si="51"/>
        <v>0.0959879877064395</v>
      </c>
      <c r="U81" s="740">
        <f t="shared" si="52"/>
        <v>30479457326.666115</v>
      </c>
      <c r="AR81">
        <v>1602.206324819992</v>
      </c>
    </row>
    <row r="82" spans="1:44" ht="12.75">
      <c r="A82">
        <f t="shared" si="53"/>
        <v>2016</v>
      </c>
      <c r="B82" s="712">
        <f t="shared" si="55"/>
        <v>0.26666666666666666</v>
      </c>
      <c r="C82" s="734">
        <f>B82*Input!C23</f>
        <v>595369.7606715373</v>
      </c>
      <c r="D82" s="743">
        <f t="shared" si="50"/>
        <v>4.694835680751174</v>
      </c>
      <c r="E82">
        <f t="shared" si="54"/>
        <v>0.213</v>
      </c>
      <c r="N82" s="744">
        <f>O82*Input!$B$56</f>
        <v>3053597498.9412956</v>
      </c>
      <c r="O82" s="744">
        <f t="shared" si="46"/>
        <v>31408503208.54637</v>
      </c>
      <c r="P82" s="734">
        <f t="shared" si="47"/>
        <v>2500468.0365624325</v>
      </c>
      <c r="R82" s="735">
        <f t="shared" si="48"/>
        <v>0.09421976457007235</v>
      </c>
      <c r="S82" s="712">
        <f t="shared" si="51"/>
        <v>0.0777547562129194</v>
      </c>
      <c r="U82" s="740">
        <f t="shared" si="52"/>
        <v>22111568566.550835</v>
      </c>
      <c r="AR82">
        <v>1335.8270489238498</v>
      </c>
    </row>
    <row r="83" spans="1:44" ht="12.75">
      <c r="A83">
        <f t="shared" si="53"/>
        <v>2015</v>
      </c>
      <c r="B83" s="712">
        <f t="shared" si="55"/>
        <v>0.23333333333333336</v>
      </c>
      <c r="C83" s="734">
        <f>B83*Input!C24</f>
        <v>515494.95747955074</v>
      </c>
      <c r="D83" s="743">
        <f t="shared" si="50"/>
        <v>4.694835680751174</v>
      </c>
      <c r="E83">
        <f t="shared" si="54"/>
        <v>0.213</v>
      </c>
      <c r="N83" s="744">
        <f>O83*Input!$B$56</f>
        <v>2369793866.6215863</v>
      </c>
      <c r="O83" s="744">
        <f t="shared" si="46"/>
        <v>24375078342.57253</v>
      </c>
      <c r="P83" s="734">
        <f t="shared" si="47"/>
        <v>1942382.964403163</v>
      </c>
      <c r="R83" s="735">
        <f t="shared" si="48"/>
        <v>0.07411824731219778</v>
      </c>
      <c r="S83" s="712">
        <f t="shared" si="51"/>
        <v>0.0612305936166903</v>
      </c>
      <c r="U83" s="740">
        <f t="shared" si="52"/>
        <v>15421557383.130457</v>
      </c>
      <c r="AR83">
        <v>1113.7354016107024</v>
      </c>
    </row>
    <row r="84" spans="1:44" ht="12.75">
      <c r="A84">
        <f t="shared" si="53"/>
        <v>2014</v>
      </c>
      <c r="B84" s="712">
        <f t="shared" si="55"/>
        <v>0.20000000000000004</v>
      </c>
      <c r="C84" s="734">
        <f>B84*Input!C25</f>
        <v>437227.2561899917</v>
      </c>
      <c r="D84" s="743">
        <f t="shared" si="50"/>
        <v>4.694835680751174</v>
      </c>
      <c r="E84">
        <f t="shared" si="54"/>
        <v>0.213</v>
      </c>
      <c r="N84" s="744">
        <f>O84*Input!$B$56</f>
        <v>1770479208.9398758</v>
      </c>
      <c r="O84" s="744">
        <f t="shared" si="46"/>
        <v>18210684916.375675</v>
      </c>
      <c r="P84" s="734">
        <f t="shared" si="47"/>
        <v>1454510.3633921759</v>
      </c>
      <c r="R84" s="735">
        <f t="shared" si="48"/>
        <v>0.056164190943059224</v>
      </c>
      <c r="S84" s="712">
        <f t="shared" si="51"/>
        <v>0.04649489405866211</v>
      </c>
      <c r="U84" s="740">
        <f t="shared" si="52"/>
        <v>10229665696.162508</v>
      </c>
      <c r="AR84">
        <v>928.568219815755</v>
      </c>
    </row>
    <row r="85" spans="1:44" ht="12.75">
      <c r="A85">
        <f t="shared" si="53"/>
        <v>2013</v>
      </c>
      <c r="B85" s="712">
        <f t="shared" si="55"/>
        <v>0.16666666666666666</v>
      </c>
      <c r="C85" s="734">
        <f>B85*Input!C26</f>
        <v>360541.76225086354</v>
      </c>
      <c r="D85" s="743">
        <f t="shared" si="50"/>
        <v>4.694835680751174</v>
      </c>
      <c r="E85">
        <f t="shared" si="54"/>
        <v>0.213</v>
      </c>
      <c r="N85" s="744">
        <f>O85*Input!$B$56</f>
        <v>1257254862.218594</v>
      </c>
      <c r="O85" s="744">
        <f t="shared" si="46"/>
        <v>12931793855.491495</v>
      </c>
      <c r="P85" s="734">
        <f t="shared" si="47"/>
        <v>1037140.4854356857</v>
      </c>
      <c r="R85" s="735">
        <f t="shared" si="48"/>
        <v>0.040477852003189214</v>
      </c>
      <c r="S85" s="712">
        <f t="shared" si="51"/>
        <v>0.03362697018121915</v>
      </c>
      <c r="U85" s="740">
        <f t="shared" si="52"/>
        <v>6350789808.974487</v>
      </c>
      <c r="AR85">
        <v>774.1865236615592</v>
      </c>
    </row>
    <row r="86" spans="1:44" ht="12.75">
      <c r="A86">
        <f t="shared" si="53"/>
        <v>2012</v>
      </c>
      <c r="B86" s="712">
        <f t="shared" si="55"/>
        <v>0.13333333333333333</v>
      </c>
      <c r="C86" s="734">
        <f>B86*Input!C27</f>
        <v>285413.9262069554</v>
      </c>
      <c r="D86" s="743">
        <f t="shared" si="50"/>
        <v>4.694835680751174</v>
      </c>
      <c r="E86">
        <f t="shared" si="54"/>
        <v>0.213</v>
      </c>
      <c r="N86" s="744">
        <f>O86*Input!$B$56</f>
        <v>831079304.2412788</v>
      </c>
      <c r="O86" s="744">
        <f t="shared" si="46"/>
        <v>8548263811.084722</v>
      </c>
      <c r="P86" s="734">
        <f t="shared" si="47"/>
        <v>690257.9843158214</v>
      </c>
      <c r="R86" s="735">
        <f t="shared" si="48"/>
        <v>0.027173024541291276</v>
      </c>
      <c r="S86" s="712">
        <f t="shared" si="51"/>
        <v>0.02270505990157889</v>
      </c>
      <c r="U86" s="740">
        <f t="shared" si="52"/>
        <v>3596317717.7548</v>
      </c>
      <c r="AR86">
        <v>645.4719864719202</v>
      </c>
    </row>
    <row r="87" spans="1:44" ht="12.75">
      <c r="A87">
        <f t="shared" si="53"/>
        <v>2011</v>
      </c>
      <c r="B87" s="712">
        <f t="shared" si="55"/>
        <v>0.10000000000000002</v>
      </c>
      <c r="C87" s="734">
        <f>B87*Input!C28</f>
        <v>211819.5392027215</v>
      </c>
      <c r="D87" s="743">
        <f t="shared" si="50"/>
        <v>4.694835680751174</v>
      </c>
      <c r="E87">
        <f t="shared" si="54"/>
        <v>0.213</v>
      </c>
      <c r="N87" s="744">
        <f>O87*Input!$B$56</f>
        <v>492335775.5488401</v>
      </c>
      <c r="O87" s="744">
        <f t="shared" si="46"/>
        <v>5064036694.871943</v>
      </c>
      <c r="P87" s="734">
        <f t="shared" si="47"/>
        <v>413564.3078582543</v>
      </c>
      <c r="R87" s="735">
        <f t="shared" si="48"/>
        <v>0.016356092483662068</v>
      </c>
      <c r="S87" s="712">
        <f t="shared" si="51"/>
        <v>0.013802656737699875</v>
      </c>
      <c r="U87" s="740">
        <f t="shared" si="52"/>
        <v>1775537525.993754</v>
      </c>
      <c r="AR87">
        <v>538.1572432306262</v>
      </c>
    </row>
    <row r="88" spans="1:21" ht="12.75">
      <c r="A88">
        <f t="shared" si="53"/>
        <v>2010</v>
      </c>
      <c r="B88" s="712">
        <f t="shared" si="55"/>
        <v>0.06666666666666667</v>
      </c>
      <c r="C88" s="734">
        <f>B88*Input!C29</f>
        <v>139734.72854149697</v>
      </c>
      <c r="D88" s="743">
        <f t="shared" si="50"/>
        <v>4.694835680751174</v>
      </c>
      <c r="E88">
        <f t="shared" si="54"/>
        <v>0.213</v>
      </c>
      <c r="N88" s="744">
        <f>O88*Input!$B$56</f>
        <v>241110236.6179453</v>
      </c>
      <c r="O88" s="744">
        <f t="shared" si="46"/>
        <v>2479996673.7769775</v>
      </c>
      <c r="P88" s="734">
        <f t="shared" si="47"/>
        <v>206667.91841542147</v>
      </c>
      <c r="R88" s="735">
        <f t="shared" si="48"/>
        <v>0.008142285199414888</v>
      </c>
      <c r="S88" s="712">
        <f t="shared" si="51"/>
        <v>0.006998839581575078</v>
      </c>
      <c r="U88" s="740">
        <f t="shared" si="52"/>
        <v>696897709.9860301</v>
      </c>
    </row>
    <row r="89" spans="1:21" ht="12.75">
      <c r="A89">
        <f t="shared" si="53"/>
        <v>2009</v>
      </c>
      <c r="B89" s="712">
        <f>B$90+(ABS(A89-A$90)*($B$78-B$90)/(A$78-A$90))</f>
        <v>0.03333333333333333</v>
      </c>
      <c r="C89" s="734">
        <f>B89*Input!C30</f>
        <v>68854.22268688871</v>
      </c>
      <c r="D89" s="743">
        <f t="shared" si="50"/>
        <v>4.694835680751174</v>
      </c>
      <c r="E89">
        <f t="shared" si="54"/>
        <v>0.213</v>
      </c>
      <c r="N89" s="744">
        <f>O89*Input!$B$56</f>
        <v>76982670.23774397</v>
      </c>
      <c r="O89" s="744">
        <f t="shared" si="46"/>
        <v>791823560.8992201</v>
      </c>
      <c r="P89" s="734">
        <f t="shared" si="47"/>
        <v>68854.22268688871</v>
      </c>
      <c r="R89" s="735">
        <f t="shared" si="48"/>
        <v>0.0026434500796320396</v>
      </c>
      <c r="S89" s="712">
        <f t="shared" si="51"/>
        <v>0.002366027308156067</v>
      </c>
      <c r="U89" s="740">
        <f t="shared" si="52"/>
        <v>168658418.47153386</v>
      </c>
    </row>
    <row r="90" spans="1:21" ht="12.75">
      <c r="A90">
        <f t="shared" si="53"/>
        <v>2008</v>
      </c>
      <c r="B90" s="712">
        <f>Input!B47</f>
        <v>0</v>
      </c>
      <c r="C90" s="734">
        <f>B90*Input!C31</f>
        <v>0</v>
      </c>
      <c r="D90" s="743">
        <f t="shared" si="50"/>
        <v>4.694835680751174</v>
      </c>
      <c r="E90">
        <f t="shared" si="54"/>
        <v>0.213</v>
      </c>
      <c r="N90" s="744">
        <f>O90*Input!$B$56</f>
        <v>0</v>
      </c>
      <c r="O90" s="744">
        <f t="shared" si="46"/>
        <v>0</v>
      </c>
      <c r="P90" s="734">
        <f t="shared" si="47"/>
        <v>0</v>
      </c>
      <c r="R90" s="735">
        <f t="shared" si="48"/>
        <v>0</v>
      </c>
      <c r="S90" s="712">
        <f t="shared" si="51"/>
        <v>0</v>
      </c>
      <c r="U90" s="740">
        <f t="shared" si="52"/>
        <v>0</v>
      </c>
    </row>
    <row r="91" spans="1:21" ht="12.75">
      <c r="A91">
        <f t="shared" si="53"/>
        <v>2007</v>
      </c>
      <c r="B91" s="712">
        <v>0</v>
      </c>
      <c r="C91" s="734">
        <f>B91*Input!C32</f>
        <v>0</v>
      </c>
      <c r="D91" s="743">
        <f t="shared" si="50"/>
        <v>4.694835680751174</v>
      </c>
      <c r="E91">
        <f t="shared" si="54"/>
        <v>0.213</v>
      </c>
      <c r="N91" s="744">
        <f>O91*Input!$B$56</f>
        <v>0</v>
      </c>
      <c r="O91" s="744">
        <f t="shared" si="46"/>
        <v>0</v>
      </c>
      <c r="P91" s="734">
        <f t="shared" si="47"/>
        <v>0</v>
      </c>
      <c r="R91" s="735">
        <f t="shared" si="48"/>
        <v>0</v>
      </c>
      <c r="S91" s="712">
        <f t="shared" si="51"/>
        <v>0</v>
      </c>
      <c r="U91" s="740">
        <f t="shared" si="52"/>
        <v>0</v>
      </c>
    </row>
    <row r="92" spans="1:21" ht="12.75">
      <c r="A92">
        <f t="shared" si="53"/>
        <v>2006</v>
      </c>
      <c r="B92" s="712">
        <v>0</v>
      </c>
      <c r="C92" s="734">
        <f>B92*Input!C33</f>
        <v>0</v>
      </c>
      <c r="D92" s="743">
        <f t="shared" si="50"/>
        <v>4.694835680751174</v>
      </c>
      <c r="E92">
        <f t="shared" si="54"/>
        <v>0.213</v>
      </c>
      <c r="N92" s="744">
        <f>O92*Input!$B$56</f>
        <v>0</v>
      </c>
      <c r="O92" s="744">
        <f t="shared" si="46"/>
        <v>0</v>
      </c>
      <c r="P92" s="734">
        <f t="shared" si="47"/>
        <v>0</v>
      </c>
      <c r="R92" s="735">
        <f t="shared" si="48"/>
        <v>0</v>
      </c>
      <c r="S92" s="712">
        <f t="shared" si="51"/>
        <v>0</v>
      </c>
      <c r="U92" s="740">
        <f t="shared" si="52"/>
        <v>0</v>
      </c>
    </row>
    <row r="93" spans="1:21" ht="12.75">
      <c r="A93">
        <f t="shared" si="53"/>
        <v>2005</v>
      </c>
      <c r="B93" s="712">
        <v>0</v>
      </c>
      <c r="C93" s="734">
        <f>B93*Input!C34</f>
        <v>0</v>
      </c>
      <c r="D93" s="743">
        <f t="shared" si="50"/>
        <v>4.694835680751174</v>
      </c>
      <c r="E93">
        <f t="shared" si="54"/>
        <v>0.213</v>
      </c>
      <c r="N93" s="744">
        <f>O93*Input!$B$56</f>
        <v>0</v>
      </c>
      <c r="O93" s="744">
        <f t="shared" si="46"/>
        <v>0</v>
      </c>
      <c r="P93" s="734">
        <f t="shared" si="47"/>
        <v>0</v>
      </c>
      <c r="R93" s="735">
        <f t="shared" si="48"/>
        <v>0</v>
      </c>
      <c r="S93" s="712">
        <f t="shared" si="51"/>
        <v>0</v>
      </c>
      <c r="U93" s="740">
        <f t="shared" si="52"/>
        <v>0</v>
      </c>
    </row>
    <row r="94" spans="1:21" ht="12.75">
      <c r="A94">
        <f t="shared" si="53"/>
        <v>2004</v>
      </c>
      <c r="B94" s="712">
        <v>0</v>
      </c>
      <c r="C94" s="734">
        <f>B94*Input!C35</f>
        <v>0</v>
      </c>
      <c r="D94" s="743">
        <f t="shared" si="50"/>
        <v>4.694835680751174</v>
      </c>
      <c r="E94">
        <f t="shared" si="54"/>
        <v>0.213</v>
      </c>
      <c r="N94" s="744">
        <f>O94*Input!$B$56</f>
        <v>0</v>
      </c>
      <c r="O94" s="744">
        <f t="shared" si="46"/>
        <v>0</v>
      </c>
      <c r="P94" s="734">
        <f t="shared" si="47"/>
        <v>0</v>
      </c>
      <c r="R94" s="735">
        <f t="shared" si="48"/>
        <v>0</v>
      </c>
      <c r="S94" s="712">
        <f t="shared" si="51"/>
        <v>0</v>
      </c>
      <c r="U94" s="740">
        <f t="shared" si="52"/>
        <v>0</v>
      </c>
    </row>
    <row r="95" spans="1:21" ht="12.75">
      <c r="A95">
        <f t="shared" si="53"/>
        <v>2003</v>
      </c>
      <c r="B95" s="712">
        <v>0</v>
      </c>
      <c r="C95" s="734">
        <f>B95*Input!C36</f>
        <v>0</v>
      </c>
      <c r="D95" s="743">
        <f t="shared" si="50"/>
        <v>4.694835680751174</v>
      </c>
      <c r="E95">
        <f t="shared" si="54"/>
        <v>0.213</v>
      </c>
      <c r="N95" s="744">
        <f>O95*Input!$B$56</f>
        <v>0</v>
      </c>
      <c r="O95" s="744">
        <f t="shared" si="46"/>
        <v>0</v>
      </c>
      <c r="P95" s="734">
        <f t="shared" si="47"/>
        <v>0</v>
      </c>
      <c r="R95" s="735">
        <f t="shared" si="48"/>
        <v>0</v>
      </c>
      <c r="S95" s="712">
        <f t="shared" si="51"/>
        <v>0</v>
      </c>
      <c r="U95" s="740">
        <f t="shared" si="52"/>
        <v>0</v>
      </c>
    </row>
    <row r="96" spans="1:21" ht="12.75">
      <c r="A96">
        <f t="shared" si="53"/>
        <v>2002</v>
      </c>
      <c r="B96" s="712">
        <v>0</v>
      </c>
      <c r="C96" s="734">
        <f>B96*Input!C37</f>
        <v>0</v>
      </c>
      <c r="D96" s="743">
        <f t="shared" si="50"/>
        <v>4.694835680751174</v>
      </c>
      <c r="E96">
        <f t="shared" si="54"/>
        <v>0.213</v>
      </c>
      <c r="N96" s="744">
        <f>O96*Input!$B$56</f>
        <v>0</v>
      </c>
      <c r="O96" s="744">
        <f t="shared" si="46"/>
        <v>0</v>
      </c>
      <c r="P96" s="734">
        <f t="shared" si="47"/>
        <v>0</v>
      </c>
      <c r="R96" s="735">
        <f t="shared" si="48"/>
        <v>0</v>
      </c>
      <c r="S96" s="712">
        <f t="shared" si="51"/>
        <v>0</v>
      </c>
      <c r="U96" s="740">
        <f t="shared" si="52"/>
        <v>0</v>
      </c>
    </row>
    <row r="97" spans="1:21" ht="12.75">
      <c r="A97">
        <f t="shared" si="53"/>
        <v>2001</v>
      </c>
      <c r="B97" s="712">
        <v>0</v>
      </c>
      <c r="C97" s="734">
        <f>B97*Input!C38</f>
        <v>0</v>
      </c>
      <c r="D97" s="743">
        <f t="shared" si="50"/>
        <v>4.694835680751174</v>
      </c>
      <c r="E97">
        <f t="shared" si="54"/>
        <v>0.213</v>
      </c>
      <c r="N97" s="744">
        <f>O97*Input!$B$56</f>
        <v>0</v>
      </c>
      <c r="O97" s="744">
        <f t="shared" si="46"/>
        <v>0</v>
      </c>
      <c r="P97" s="734">
        <f t="shared" si="47"/>
        <v>0</v>
      </c>
      <c r="R97" s="735">
        <f t="shared" si="48"/>
        <v>0</v>
      </c>
      <c r="S97" s="712">
        <f t="shared" si="51"/>
        <v>0</v>
      </c>
      <c r="U97" s="740">
        <f t="shared" si="52"/>
        <v>0</v>
      </c>
    </row>
    <row r="98" spans="1:21" ht="12.75">
      <c r="A98">
        <f t="shared" si="53"/>
        <v>2000</v>
      </c>
      <c r="B98" s="712">
        <v>0</v>
      </c>
      <c r="C98" s="734">
        <f>B98*Input!C39</f>
        <v>0</v>
      </c>
      <c r="D98" s="743">
        <f t="shared" si="50"/>
        <v>4.694835680751174</v>
      </c>
      <c r="E98">
        <f t="shared" si="54"/>
        <v>0.213</v>
      </c>
      <c r="N98" s="744">
        <f>O98*Input!$B$56</f>
        <v>0</v>
      </c>
      <c r="O98" s="744">
        <f t="shared" si="46"/>
        <v>0</v>
      </c>
      <c r="P98" s="734">
        <f t="shared" si="47"/>
        <v>0</v>
      </c>
      <c r="R98" s="735">
        <f t="shared" si="48"/>
        <v>0</v>
      </c>
      <c r="S98" s="712">
        <f t="shared" si="51"/>
        <v>0</v>
      </c>
      <c r="U98" s="740">
        <f t="shared" si="52"/>
        <v>0</v>
      </c>
    </row>
    <row r="99" spans="1:15" ht="12.75">
      <c r="A99">
        <f t="shared" si="53"/>
        <v>1999</v>
      </c>
      <c r="B99" s="712">
        <v>0</v>
      </c>
      <c r="C99" s="734">
        <f aca="true" t="shared" si="56" ref="C99:C128">B99*U34</f>
        <v>0</v>
      </c>
      <c r="N99" s="744"/>
      <c r="O99" s="744"/>
    </row>
    <row r="100" spans="1:15" ht="12.75">
      <c r="A100">
        <f t="shared" si="53"/>
        <v>1998</v>
      </c>
      <c r="B100" s="712">
        <v>0</v>
      </c>
      <c r="C100" s="734">
        <f t="shared" si="56"/>
        <v>0</v>
      </c>
      <c r="N100" s="744"/>
      <c r="O100" s="744"/>
    </row>
    <row r="101" spans="1:15" ht="12.75">
      <c r="A101">
        <f t="shared" si="53"/>
        <v>1997</v>
      </c>
      <c r="B101" s="712">
        <v>0</v>
      </c>
      <c r="C101" s="734">
        <f t="shared" si="56"/>
        <v>0</v>
      </c>
      <c r="N101" s="744"/>
      <c r="O101" s="744"/>
    </row>
    <row r="102" spans="1:15" ht="12.75">
      <c r="A102">
        <f t="shared" si="53"/>
        <v>1996</v>
      </c>
      <c r="B102" s="712">
        <v>0</v>
      </c>
      <c r="C102" s="734">
        <f t="shared" si="56"/>
        <v>0</v>
      </c>
      <c r="N102" s="744"/>
      <c r="O102" s="744"/>
    </row>
    <row r="103" spans="1:15" ht="12.75">
      <c r="A103">
        <f t="shared" si="53"/>
        <v>1995</v>
      </c>
      <c r="B103" s="712">
        <v>0</v>
      </c>
      <c r="C103" s="734">
        <f t="shared" si="56"/>
        <v>0</v>
      </c>
      <c r="N103" s="744"/>
      <c r="O103" s="744"/>
    </row>
    <row r="104" spans="1:15" ht="12.75">
      <c r="A104">
        <f t="shared" si="53"/>
        <v>1994</v>
      </c>
      <c r="B104" s="712">
        <v>0</v>
      </c>
      <c r="C104" s="734">
        <f t="shared" si="56"/>
        <v>0</v>
      </c>
      <c r="N104" s="744"/>
      <c r="O104" s="744"/>
    </row>
    <row r="105" spans="1:15" ht="12.75">
      <c r="A105">
        <f t="shared" si="53"/>
        <v>1993</v>
      </c>
      <c r="B105" s="712">
        <v>0</v>
      </c>
      <c r="C105" s="734">
        <f t="shared" si="56"/>
        <v>0</v>
      </c>
      <c r="N105" s="744"/>
      <c r="O105" s="744"/>
    </row>
    <row r="106" spans="1:15" ht="12.75">
      <c r="A106">
        <f t="shared" si="53"/>
        <v>1992</v>
      </c>
      <c r="B106" s="712">
        <v>0</v>
      </c>
      <c r="C106" s="734">
        <f t="shared" si="56"/>
        <v>0</v>
      </c>
      <c r="N106" s="744"/>
      <c r="O106" s="744"/>
    </row>
    <row r="107" spans="1:15" ht="12.75">
      <c r="A107">
        <f t="shared" si="53"/>
        <v>1991</v>
      </c>
      <c r="B107" s="712">
        <v>0</v>
      </c>
      <c r="C107" s="734">
        <f t="shared" si="56"/>
        <v>0</v>
      </c>
      <c r="N107" s="744"/>
      <c r="O107" s="744"/>
    </row>
    <row r="108" spans="1:15" ht="12.75">
      <c r="A108">
        <f t="shared" si="53"/>
        <v>1990</v>
      </c>
      <c r="B108" s="712">
        <v>0</v>
      </c>
      <c r="C108" s="734">
        <f t="shared" si="56"/>
        <v>0</v>
      </c>
      <c r="N108" s="744"/>
      <c r="O108" s="744"/>
    </row>
    <row r="109" spans="1:15" ht="12.75">
      <c r="A109">
        <f t="shared" si="53"/>
        <v>1989</v>
      </c>
      <c r="B109" s="712">
        <v>0</v>
      </c>
      <c r="C109" s="734">
        <f t="shared" si="56"/>
        <v>0</v>
      </c>
      <c r="N109" s="744"/>
      <c r="O109" s="744"/>
    </row>
    <row r="110" spans="1:15" ht="12.75">
      <c r="A110">
        <f t="shared" si="53"/>
        <v>1988</v>
      </c>
      <c r="B110" s="712">
        <v>0</v>
      </c>
      <c r="C110" s="734">
        <f t="shared" si="56"/>
        <v>0</v>
      </c>
      <c r="N110" s="744"/>
      <c r="O110" s="744"/>
    </row>
    <row r="111" spans="1:15" ht="12.75">
      <c r="A111">
        <f t="shared" si="53"/>
        <v>1987</v>
      </c>
      <c r="B111" s="712">
        <v>0</v>
      </c>
      <c r="C111" s="734">
        <f t="shared" si="56"/>
        <v>0</v>
      </c>
      <c r="N111" s="744"/>
      <c r="O111" s="744"/>
    </row>
    <row r="112" spans="1:15" ht="12.75">
      <c r="A112">
        <f t="shared" si="53"/>
        <v>1986</v>
      </c>
      <c r="B112" s="712">
        <v>0</v>
      </c>
      <c r="C112" s="734">
        <f t="shared" si="56"/>
        <v>0</v>
      </c>
      <c r="N112" s="744"/>
      <c r="O112" s="744"/>
    </row>
    <row r="113" spans="1:15" ht="12.75">
      <c r="A113">
        <f t="shared" si="53"/>
        <v>1985</v>
      </c>
      <c r="B113" s="712">
        <v>0</v>
      </c>
      <c r="C113" s="734">
        <f t="shared" si="56"/>
        <v>0</v>
      </c>
      <c r="N113" s="744"/>
      <c r="O113" s="744"/>
    </row>
    <row r="114" spans="1:15" ht="12.75">
      <c r="A114">
        <f t="shared" si="53"/>
        <v>1984</v>
      </c>
      <c r="B114" s="712">
        <v>0</v>
      </c>
      <c r="C114" s="734">
        <f t="shared" si="56"/>
        <v>0</v>
      </c>
      <c r="N114" s="744"/>
      <c r="O114" s="744"/>
    </row>
    <row r="115" spans="1:15" ht="12.75">
      <c r="A115">
        <f t="shared" si="53"/>
        <v>1983</v>
      </c>
      <c r="B115" s="712">
        <v>0</v>
      </c>
      <c r="C115" s="734">
        <f t="shared" si="56"/>
        <v>0</v>
      </c>
      <c r="N115" s="744"/>
      <c r="O115" s="744"/>
    </row>
    <row r="116" spans="1:15" ht="12.75">
      <c r="A116">
        <f t="shared" si="53"/>
        <v>1982</v>
      </c>
      <c r="B116" s="712">
        <v>0</v>
      </c>
      <c r="C116" s="734">
        <f t="shared" si="56"/>
        <v>0</v>
      </c>
      <c r="N116" s="744"/>
      <c r="O116" s="744"/>
    </row>
    <row r="117" spans="1:15" ht="12.75">
      <c r="A117">
        <f t="shared" si="53"/>
        <v>1981</v>
      </c>
      <c r="B117" s="712">
        <v>0</v>
      </c>
      <c r="C117" s="734">
        <f t="shared" si="56"/>
        <v>0</v>
      </c>
      <c r="N117" s="744"/>
      <c r="O117" s="744"/>
    </row>
    <row r="118" spans="1:15" ht="12.75">
      <c r="A118">
        <f t="shared" si="53"/>
        <v>1980</v>
      </c>
      <c r="B118" s="712">
        <v>0</v>
      </c>
      <c r="C118" s="734">
        <f t="shared" si="56"/>
        <v>0</v>
      </c>
      <c r="N118" s="744"/>
      <c r="O118" s="744"/>
    </row>
    <row r="119" spans="1:15" ht="12.75">
      <c r="A119">
        <f t="shared" si="53"/>
        <v>1979</v>
      </c>
      <c r="B119" s="712">
        <v>0</v>
      </c>
      <c r="C119" s="734">
        <f t="shared" si="56"/>
        <v>0</v>
      </c>
      <c r="N119" s="744"/>
      <c r="O119" s="744"/>
    </row>
    <row r="120" spans="1:15" ht="12.75">
      <c r="A120">
        <f t="shared" si="53"/>
        <v>1978</v>
      </c>
      <c r="B120" s="712">
        <v>0</v>
      </c>
      <c r="C120" s="734">
        <f t="shared" si="56"/>
        <v>0</v>
      </c>
      <c r="N120" s="744"/>
      <c r="O120" s="744"/>
    </row>
    <row r="121" spans="1:15" ht="12.75">
      <c r="A121">
        <f t="shared" si="53"/>
        <v>1977</v>
      </c>
      <c r="B121" s="712">
        <v>0</v>
      </c>
      <c r="C121" s="734">
        <f t="shared" si="56"/>
        <v>0</v>
      </c>
      <c r="N121" s="744"/>
      <c r="O121" s="744"/>
    </row>
    <row r="122" spans="1:15" ht="12.75">
      <c r="A122">
        <f t="shared" si="53"/>
        <v>1976</v>
      </c>
      <c r="B122" s="712">
        <v>0</v>
      </c>
      <c r="C122" s="734">
        <f t="shared" si="56"/>
        <v>0</v>
      </c>
      <c r="N122" s="744"/>
      <c r="O122" s="744"/>
    </row>
    <row r="123" spans="1:15" ht="12.75">
      <c r="A123">
        <f t="shared" si="53"/>
        <v>1975</v>
      </c>
      <c r="B123" s="712">
        <v>0</v>
      </c>
      <c r="C123" s="734">
        <f t="shared" si="56"/>
        <v>0</v>
      </c>
      <c r="N123" s="744"/>
      <c r="O123" s="744"/>
    </row>
    <row r="124" spans="1:15" ht="12.75">
      <c r="A124">
        <f t="shared" si="53"/>
        <v>1974</v>
      </c>
      <c r="B124" s="712">
        <v>0</v>
      </c>
      <c r="C124" s="734">
        <f t="shared" si="56"/>
        <v>0</v>
      </c>
      <c r="N124" s="744"/>
      <c r="O124" s="744"/>
    </row>
    <row r="125" spans="1:15" ht="12.75">
      <c r="A125">
        <f t="shared" si="53"/>
        <v>1973</v>
      </c>
      <c r="B125" s="712">
        <v>0</v>
      </c>
      <c r="C125" s="734">
        <f t="shared" si="56"/>
        <v>0</v>
      </c>
      <c r="N125" s="744"/>
      <c r="O125" s="744"/>
    </row>
    <row r="126" spans="1:15" ht="12.75">
      <c r="A126">
        <f t="shared" si="53"/>
        <v>1972</v>
      </c>
      <c r="B126" s="712">
        <v>0</v>
      </c>
      <c r="C126" s="734">
        <f t="shared" si="56"/>
        <v>0</v>
      </c>
      <c r="N126" s="744"/>
      <c r="O126" s="744"/>
    </row>
    <row r="127" spans="1:15" ht="12.75">
      <c r="A127">
        <f t="shared" si="53"/>
        <v>1971</v>
      </c>
      <c r="B127" s="712">
        <v>0</v>
      </c>
      <c r="C127" s="734">
        <f t="shared" si="56"/>
        <v>0</v>
      </c>
      <c r="N127" s="744"/>
      <c r="O127" s="744"/>
    </row>
    <row r="128" spans="1:15" ht="12.75">
      <c r="A128">
        <f t="shared" si="53"/>
        <v>1970</v>
      </c>
      <c r="B128" s="712">
        <v>0</v>
      </c>
      <c r="C128" s="734">
        <f t="shared" si="56"/>
        <v>0</v>
      </c>
      <c r="N128" s="744"/>
      <c r="O128" s="744"/>
    </row>
    <row r="129" spans="2:15" ht="12.75">
      <c r="B129" s="712"/>
      <c r="C129" s="734"/>
      <c r="N129" s="744"/>
      <c r="O129" s="744"/>
    </row>
    <row r="130" spans="2:15" ht="12.75">
      <c r="B130" s="712"/>
      <c r="C130" s="734"/>
      <c r="N130" s="744"/>
      <c r="O130" s="744"/>
    </row>
    <row r="131" spans="2:15" ht="12.75">
      <c r="B131" s="712"/>
      <c r="C131" s="734"/>
      <c r="N131" s="744"/>
      <c r="O131" s="744"/>
    </row>
    <row r="134" ht="12.75">
      <c r="A134" t="s">
        <v>504</v>
      </c>
    </row>
    <row r="135" spans="1:19" ht="12.75">
      <c r="A135" t="s">
        <v>308</v>
      </c>
      <c r="B135" t="s">
        <v>505</v>
      </c>
      <c r="C135" t="s">
        <v>506</v>
      </c>
      <c r="D135" t="s">
        <v>470</v>
      </c>
      <c r="E135" t="s">
        <v>471</v>
      </c>
      <c r="M135" t="s">
        <v>475</v>
      </c>
      <c r="N135" t="s">
        <v>476</v>
      </c>
      <c r="O135" t="s">
        <v>477</v>
      </c>
      <c r="P135" t="s">
        <v>478</v>
      </c>
      <c r="Q135" t="s">
        <v>479</v>
      </c>
      <c r="R135" t="s">
        <v>501</v>
      </c>
      <c r="S135" t="s">
        <v>502</v>
      </c>
    </row>
    <row r="136" spans="1:19" ht="12.75">
      <c r="A136">
        <v>2030</v>
      </c>
      <c r="B136" s="712">
        <f>Input!D45</f>
        <v>0</v>
      </c>
      <c r="C136" s="734">
        <f>B136*Input!C9</f>
        <v>0</v>
      </c>
      <c r="D136">
        <f>Input!E$4*(1+Input!F4)</f>
        <v>85.8</v>
      </c>
      <c r="E136" s="738">
        <f>1/D136</f>
        <v>0.011655011655011656</v>
      </c>
      <c r="F136" s="738"/>
      <c r="G136" s="738"/>
      <c r="M136" s="740">
        <f aca="true" t="shared" si="57" ref="M136:M165">SUMPRODUCT($K$3:$K$33,E136:E166,C136:C166,J$3:J$33)</f>
        <v>289380122.55635023</v>
      </c>
      <c r="N136" s="740">
        <f>8.75*M136</f>
        <v>2532076072.3680644</v>
      </c>
      <c r="O136" s="740">
        <f aca="true" t="shared" si="58" ref="O136:O165">SUMPRODUCT($K$3:$K$33,$J$3:$J$33,C136:C166)</f>
        <v>20588525686.87035</v>
      </c>
      <c r="P136" s="740">
        <f aca="true" t="shared" si="59" ref="P136:P165">SUMPRODUCT(C136:C166,J$3:J$33)</f>
        <v>1904566.648648564</v>
      </c>
      <c r="Q136" s="741">
        <f>O136/M136</f>
        <v>71.1469934596534</v>
      </c>
      <c r="R136" s="712">
        <f aca="true" t="shared" si="60" ref="R136:R165">O136/Y3</f>
        <v>0.05044423746173697</v>
      </c>
      <c r="S136" s="740">
        <f>P136/V3</f>
        <v>0.04824897572687685</v>
      </c>
    </row>
    <row r="137" spans="1:19" ht="12.75">
      <c r="A137">
        <f>A136-1</f>
        <v>2029</v>
      </c>
      <c r="B137" s="712">
        <f aca="true" t="shared" si="61" ref="B137:B144">B138+($B$136-$B$146)/($A$136-$A$146)</f>
        <v>0.01000000000000001</v>
      </c>
      <c r="C137" s="734">
        <f>B137*Input!C10</f>
        <v>27502.61444036711</v>
      </c>
      <c r="D137">
        <f>($D$33+(($D$3-$D$33)/($A$3-$A$33))*(A137-$A$33))*(1+Input!F$4)</f>
        <v>84.15</v>
      </c>
      <c r="E137" s="738">
        <f aca="true" t="shared" si="62" ref="E137:E196">1/D137</f>
        <v>0.011883541295306001</v>
      </c>
      <c r="F137" s="738"/>
      <c r="G137" s="738"/>
      <c r="M137" s="740">
        <f t="shared" si="57"/>
        <v>316965091.71278006</v>
      </c>
      <c r="N137" s="740">
        <f aca="true" t="shared" si="63" ref="N137:N165">8.75*M137</f>
        <v>2773444552.4868255</v>
      </c>
      <c r="O137" s="740">
        <f t="shared" si="58"/>
        <v>22404301424.760674</v>
      </c>
      <c r="P137" s="740">
        <f t="shared" si="59"/>
        <v>2010354.817118713</v>
      </c>
      <c r="Q137" s="741">
        <f aca="true" t="shared" si="64" ref="Q137:Q165">O137/M137</f>
        <v>70.68381348777194</v>
      </c>
      <c r="R137" s="712">
        <f t="shared" si="60"/>
        <v>0.055732985366591326</v>
      </c>
      <c r="S137" s="740">
        <f aca="true" t="shared" si="65" ref="S137:S165">P137/V4</f>
        <v>0.051719782752570484</v>
      </c>
    </row>
    <row r="138" spans="1:19" ht="12.75">
      <c r="A138">
        <f aca="true" t="shared" si="66" ref="A138:A196">A137-1</f>
        <v>2028</v>
      </c>
      <c r="B138" s="712">
        <f t="shared" si="61"/>
        <v>0.02000000000000001</v>
      </c>
      <c r="C138" s="734">
        <f>B138*Input!C11</f>
        <v>54291.872600379604</v>
      </c>
      <c r="D138">
        <f>($D$33+(($D$3-$D$33)/($A$3-$A$33))*(A138-$A$33))*(1+Input!F$4)</f>
        <v>82.5</v>
      </c>
      <c r="E138" s="738">
        <f t="shared" si="62"/>
        <v>0.012121212121212121</v>
      </c>
      <c r="F138" s="738"/>
      <c r="G138" s="738"/>
      <c r="M138" s="740">
        <f t="shared" si="57"/>
        <v>339345225.09399664</v>
      </c>
      <c r="N138" s="740">
        <f t="shared" si="63"/>
        <v>2969270719.5724707</v>
      </c>
      <c r="O138" s="740">
        <f t="shared" si="58"/>
        <v>23778856425.40432</v>
      </c>
      <c r="P138" s="740">
        <f t="shared" si="59"/>
        <v>2082138.2030347693</v>
      </c>
      <c r="Q138" s="741">
        <f t="shared" si="64"/>
        <v>70.07275973551039</v>
      </c>
      <c r="R138" s="712">
        <f t="shared" si="60"/>
        <v>0.06006501469642396</v>
      </c>
      <c r="S138" s="740">
        <f t="shared" si="65"/>
        <v>0.05440043085083697</v>
      </c>
    </row>
    <row r="139" spans="1:19" ht="12.75">
      <c r="A139">
        <f t="shared" si="66"/>
        <v>2027</v>
      </c>
      <c r="B139" s="712">
        <f t="shared" si="61"/>
        <v>0.030000000000000013</v>
      </c>
      <c r="C139" s="734">
        <f>B139*Input!C12</f>
        <v>80367.77448003707</v>
      </c>
      <c r="D139">
        <f>($D$33+(($D$3-$D$33)/($A$3-$A$33))*(A139-$A$33))*(1+Input!F$4)</f>
        <v>80.85000000000001</v>
      </c>
      <c r="E139" s="738">
        <f t="shared" si="62"/>
        <v>0.012368583797155224</v>
      </c>
      <c r="F139" s="738"/>
      <c r="G139" s="738"/>
      <c r="M139" s="740">
        <f t="shared" si="57"/>
        <v>356057600.7207653</v>
      </c>
      <c r="N139" s="740">
        <f t="shared" si="63"/>
        <v>3115504006.3066964</v>
      </c>
      <c r="O139" s="740">
        <f t="shared" si="58"/>
        <v>24696852253.413734</v>
      </c>
      <c r="P139" s="740">
        <f t="shared" si="59"/>
        <v>2119718.8505247883</v>
      </c>
      <c r="Q139" s="741">
        <f t="shared" si="64"/>
        <v>69.3619577377931</v>
      </c>
      <c r="R139" s="712">
        <f t="shared" si="60"/>
        <v>0.06335214726194696</v>
      </c>
      <c r="S139" s="740">
        <f t="shared" si="65"/>
        <v>0.056245352925520006</v>
      </c>
    </row>
    <row r="140" spans="1:19" ht="12.75">
      <c r="A140">
        <f t="shared" si="66"/>
        <v>2026</v>
      </c>
      <c r="B140" s="712">
        <f t="shared" si="61"/>
        <v>0.040000000000000015</v>
      </c>
      <c r="C140" s="734">
        <f>B140*Input!C13</f>
        <v>105730.32007934024</v>
      </c>
      <c r="D140">
        <f>($D$33+(($D$3-$D$33)/($A$3-$A$33))*(A140-$A$33))*(1+Input!F$4)</f>
        <v>79.2</v>
      </c>
      <c r="E140" s="738">
        <f t="shared" si="62"/>
        <v>0.012626262626262626</v>
      </c>
      <c r="F140" s="738"/>
      <c r="G140" s="738"/>
      <c r="M140" s="740">
        <f t="shared" si="57"/>
        <v>366698214.37020737</v>
      </c>
      <c r="N140" s="740">
        <f t="shared" si="63"/>
        <v>3208609375.7393146</v>
      </c>
      <c r="O140" s="740">
        <f t="shared" si="58"/>
        <v>25148258994.607956</v>
      </c>
      <c r="P140" s="740">
        <f t="shared" si="59"/>
        <v>2123161.9811065006</v>
      </c>
      <c r="Q140" s="741">
        <f t="shared" si="64"/>
        <v>68.58026030423764</v>
      </c>
      <c r="R140" s="712">
        <f t="shared" si="60"/>
        <v>0.06551454217255394</v>
      </c>
      <c r="S140" s="740">
        <f t="shared" si="65"/>
        <v>0.05721420109609517</v>
      </c>
    </row>
    <row r="141" spans="1:19" ht="12.75">
      <c r="A141">
        <f t="shared" si="66"/>
        <v>2025</v>
      </c>
      <c r="B141" s="712">
        <f t="shared" si="61"/>
        <v>0.05000000000000002</v>
      </c>
      <c r="C141" s="734">
        <f>B141*Input!C14</f>
        <v>130379.50939828876</v>
      </c>
      <c r="D141">
        <f>($D$33+(($D$3-$D$33)/($A$3-$A$33))*(A141-$A$33))*(1+Input!F$4)</f>
        <v>77.55</v>
      </c>
      <c r="E141" s="738">
        <f t="shared" si="62"/>
        <v>0.01289490651192779</v>
      </c>
      <c r="F141" s="738"/>
      <c r="G141" s="738"/>
      <c r="M141" s="740">
        <f t="shared" si="57"/>
        <v>370938508.2146769</v>
      </c>
      <c r="N141" s="740">
        <f t="shared" si="63"/>
        <v>3245711946.878423</v>
      </c>
      <c r="O141" s="740">
        <f t="shared" si="58"/>
        <v>25129154358.303867</v>
      </c>
      <c r="P141" s="740">
        <f t="shared" si="59"/>
        <v>2092840.081736417</v>
      </c>
      <c r="Q141" s="741">
        <f t="shared" si="64"/>
        <v>67.74479813177182</v>
      </c>
      <c r="R141" s="712">
        <f t="shared" si="60"/>
        <v>0.06648568158554173</v>
      </c>
      <c r="S141" s="740">
        <f t="shared" si="65"/>
        <v>0.05727534508198616</v>
      </c>
    </row>
    <row r="142" spans="1:19" ht="12.75">
      <c r="A142">
        <f t="shared" si="66"/>
        <v>2024</v>
      </c>
      <c r="B142" s="712">
        <f t="shared" si="61"/>
        <v>0.06000000000000002</v>
      </c>
      <c r="C142" s="734">
        <f>B142*Input!C15</f>
        <v>154315.3424368828</v>
      </c>
      <c r="D142">
        <f>($D$33+(($D$3-$D$33)/($A$3-$A$33))*(A142-$A$33))*(1+Input!F$4)</f>
        <v>75.9</v>
      </c>
      <c r="E142" s="738">
        <f t="shared" si="62"/>
        <v>0.013175230566534914</v>
      </c>
      <c r="F142" s="738"/>
      <c r="G142" s="738"/>
      <c r="M142" s="740">
        <f t="shared" si="57"/>
        <v>368523994.93519795</v>
      </c>
      <c r="N142" s="740">
        <f t="shared" si="63"/>
        <v>3224584955.682982</v>
      </c>
      <c r="O142" s="740">
        <f t="shared" si="58"/>
        <v>24641173428.660225</v>
      </c>
      <c r="P142" s="740">
        <f t="shared" si="59"/>
        <v>2029406.1463921864</v>
      </c>
      <c r="Q142" s="741">
        <f t="shared" si="64"/>
        <v>66.86450208755927</v>
      </c>
      <c r="R142" s="712">
        <f t="shared" si="60"/>
        <v>0.066210848173203</v>
      </c>
      <c r="S142" s="740">
        <f t="shared" si="65"/>
        <v>0.056400665929664966</v>
      </c>
    </row>
    <row r="143" spans="1:19" ht="12.75">
      <c r="A143">
        <f t="shared" si="66"/>
        <v>2023</v>
      </c>
      <c r="B143" s="712">
        <f t="shared" si="61"/>
        <v>0.07000000000000002</v>
      </c>
      <c r="C143" s="734">
        <f>B143*Input!C16</f>
        <v>177537.8191951221</v>
      </c>
      <c r="D143">
        <f>($D$33+(($D$3-$D$33)/($A$3-$A$33))*(A143-$A$33))*(1+Input!F$4)</f>
        <v>74.25</v>
      </c>
      <c r="E143" s="738">
        <f t="shared" si="62"/>
        <v>0.013468013468013467</v>
      </c>
      <c r="F143" s="738"/>
      <c r="G143" s="738"/>
      <c r="M143" s="740">
        <f t="shared" si="57"/>
        <v>359274022.63946986</v>
      </c>
      <c r="N143" s="740">
        <f t="shared" si="63"/>
        <v>3143647698.095361</v>
      </c>
      <c r="O143" s="740">
        <f t="shared" si="58"/>
        <v>23691058262.194946</v>
      </c>
      <c r="P143" s="740">
        <f t="shared" si="59"/>
        <v>1933754.4844996526</v>
      </c>
      <c r="Q143" s="741">
        <f t="shared" si="64"/>
        <v>65.94147299641766</v>
      </c>
      <c r="R143" s="712">
        <f t="shared" si="60"/>
        <v>0.06464935091751911</v>
      </c>
      <c r="S143" s="740">
        <f t="shared" si="65"/>
        <v>0.054572402182407394</v>
      </c>
    </row>
    <row r="144" spans="1:19" ht="12.75">
      <c r="A144">
        <f t="shared" si="66"/>
        <v>2022</v>
      </c>
      <c r="B144" s="712">
        <f t="shared" si="61"/>
        <v>0.08000000000000002</v>
      </c>
      <c r="C144" s="734">
        <f>B144*Input!C17</f>
        <v>200046.93967300694</v>
      </c>
      <c r="D144">
        <f>($D$33+(($D$3-$D$33)/($A$3-$A$33))*(A144-$A$33))*(1+Input!F$4)</f>
        <v>72.60000000000001</v>
      </c>
      <c r="E144" s="738">
        <f t="shared" si="62"/>
        <v>0.013774104683195591</v>
      </c>
      <c r="F144" s="738"/>
      <c r="G144" s="738"/>
      <c r="M144" s="740">
        <f t="shared" si="57"/>
        <v>343093815.58989877</v>
      </c>
      <c r="N144" s="740">
        <f t="shared" si="63"/>
        <v>3002070886.4116144</v>
      </c>
      <c r="O144" s="740">
        <f t="shared" si="58"/>
        <v>22290764453.312782</v>
      </c>
      <c r="P144" s="740">
        <f t="shared" si="59"/>
        <v>1807072.9156346414</v>
      </c>
      <c r="Q144" s="741">
        <f t="shared" si="64"/>
        <v>64.96988124075372</v>
      </c>
      <c r="R144" s="712">
        <f t="shared" si="60"/>
        <v>0.061774256080517</v>
      </c>
      <c r="S144" s="740">
        <f t="shared" si="65"/>
        <v>0.05178460712561299</v>
      </c>
    </row>
    <row r="145" spans="1:19" ht="12.75">
      <c r="A145">
        <f t="shared" si="66"/>
        <v>2021</v>
      </c>
      <c r="B145" s="712">
        <f>B146+($B$136-$B$146)/($A$136-$A$146)</f>
        <v>0.09000000000000001</v>
      </c>
      <c r="C145" s="734">
        <f>B145*Input!C18</f>
        <v>221842.7038705371</v>
      </c>
      <c r="D145">
        <f>($D$33+(($D$3-$D$33)/($A$3-$A$33))*(A145-$A$33))*(1+Input!F$4)</f>
        <v>70.95</v>
      </c>
      <c r="E145" s="738">
        <f t="shared" si="62"/>
        <v>0.01409443269908386</v>
      </c>
      <c r="F145" s="738"/>
      <c r="G145" s="738"/>
      <c r="M145" s="740">
        <f t="shared" si="57"/>
        <v>319965360.0385764</v>
      </c>
      <c r="N145" s="740">
        <f t="shared" si="63"/>
        <v>2799696900.3375435</v>
      </c>
      <c r="O145" s="740">
        <f t="shared" si="58"/>
        <v>20456717273.77013</v>
      </c>
      <c r="P145" s="740">
        <f t="shared" si="59"/>
        <v>1650709.7101395072</v>
      </c>
      <c r="Q145" s="741">
        <f t="shared" si="64"/>
        <v>63.93416234589825</v>
      </c>
      <c r="R145" s="712">
        <f t="shared" si="60"/>
        <v>0.05757320904879037</v>
      </c>
      <c r="S145" s="740">
        <f t="shared" si="65"/>
        <v>0.04803462822870087</v>
      </c>
    </row>
    <row r="146" spans="1:19" ht="12.75">
      <c r="A146">
        <f t="shared" si="66"/>
        <v>2020</v>
      </c>
      <c r="B146" s="712">
        <f>Input!C45</f>
        <v>0.1</v>
      </c>
      <c r="C146" s="734">
        <f>B146*Input!C19</f>
        <v>232269.82961189962</v>
      </c>
      <c r="D146">
        <f>($D$33+(($D$3-$D$33)/($A$3-$A$33))*(A146-$A$33))*(1+Input!F$4)</f>
        <v>69.3</v>
      </c>
      <c r="E146" s="738">
        <f t="shared" si="62"/>
        <v>0.01443001443001443</v>
      </c>
      <c r="F146" s="738"/>
      <c r="G146" s="738"/>
      <c r="M146" s="740">
        <f t="shared" si="57"/>
        <v>290101340.2069899</v>
      </c>
      <c r="N146" s="740">
        <f t="shared" si="63"/>
        <v>2538386726.8111615</v>
      </c>
      <c r="O146" s="740">
        <f t="shared" si="58"/>
        <v>18220777044.680122</v>
      </c>
      <c r="P146" s="740">
        <f t="shared" si="59"/>
        <v>1465703.1035879806</v>
      </c>
      <c r="Q146" s="741">
        <f t="shared" si="64"/>
        <v>62.80831736826668</v>
      </c>
      <c r="R146" s="712">
        <f t="shared" si="60"/>
        <v>0.052055619732093855</v>
      </c>
      <c r="S146" s="740">
        <f t="shared" si="65"/>
        <v>0.04331296951210034</v>
      </c>
    </row>
    <row r="147" spans="1:19" ht="12.75">
      <c r="A147">
        <f t="shared" si="66"/>
        <v>2019</v>
      </c>
      <c r="B147" s="712">
        <f aca="true" t="shared" si="67" ref="B147:B156">B$158+(ABS(A147-A$158)*($B$146-B$158)/(A$146-A$158))</f>
        <v>0.0925</v>
      </c>
      <c r="C147" s="734">
        <f>B147*Input!C20</f>
        <v>213142.95673641862</v>
      </c>
      <c r="D147">
        <f>($D$33+(($D$3-$D$33)/($A$3-$A$33))*(A147-$A$33))*(1+Input!F$4)</f>
        <v>67.65</v>
      </c>
      <c r="E147" s="738">
        <f t="shared" si="62"/>
        <v>0.014781966001478195</v>
      </c>
      <c r="F147" s="738"/>
      <c r="G147" s="738"/>
      <c r="M147" s="740">
        <f t="shared" si="57"/>
        <v>255918981.25336507</v>
      </c>
      <c r="N147" s="740">
        <f t="shared" si="63"/>
        <v>2239291085.966944</v>
      </c>
      <c r="O147" s="740">
        <f t="shared" si="58"/>
        <v>15765848581.869417</v>
      </c>
      <c r="P147" s="740">
        <f t="shared" si="59"/>
        <v>1263538.757026465</v>
      </c>
      <c r="Q147" s="741">
        <f t="shared" si="64"/>
        <v>61.60484269144891</v>
      </c>
      <c r="R147" s="712">
        <f t="shared" si="60"/>
        <v>0.04556179591987199</v>
      </c>
      <c r="S147" s="740">
        <f t="shared" si="65"/>
        <v>0.03779676950863298</v>
      </c>
    </row>
    <row r="148" spans="1:19" ht="12.75">
      <c r="A148">
        <f t="shared" si="66"/>
        <v>2018</v>
      </c>
      <c r="B148" s="712">
        <f t="shared" si="67"/>
        <v>0.085</v>
      </c>
      <c r="C148" s="734">
        <f>B148*Input!C21</f>
        <v>193810.7109785275</v>
      </c>
      <c r="D148">
        <f>($D$33+(($D$3-$D$33)/($A$3-$A$33))*(A148-$A$33))*(1+Input!F$4)</f>
        <v>66</v>
      </c>
      <c r="E148" s="738">
        <f t="shared" si="62"/>
        <v>0.015151515151515152</v>
      </c>
      <c r="F148" s="738"/>
      <c r="G148" s="738"/>
      <c r="M148" s="740">
        <f t="shared" si="57"/>
        <v>222600536.79617193</v>
      </c>
      <c r="N148" s="740">
        <f t="shared" si="63"/>
        <v>1947754696.9665043</v>
      </c>
      <c r="O148" s="740">
        <f t="shared" si="58"/>
        <v>13450441820.995138</v>
      </c>
      <c r="P148" s="740">
        <f t="shared" si="59"/>
        <v>1074762.0633248554</v>
      </c>
      <c r="Q148" s="741">
        <f t="shared" si="64"/>
        <v>60.424121228922594</v>
      </c>
      <c r="R148" s="712">
        <f t="shared" si="60"/>
        <v>0.03933967706816715</v>
      </c>
      <c r="S148" s="740">
        <f t="shared" si="65"/>
        <v>0.03255784732264663</v>
      </c>
    </row>
    <row r="149" spans="1:19" ht="12.75">
      <c r="A149">
        <f t="shared" si="66"/>
        <v>2017</v>
      </c>
      <c r="B149" s="712">
        <f t="shared" si="67"/>
        <v>0.0775</v>
      </c>
      <c r="C149" s="734">
        <f>B149*Input!C22</f>
        <v>174859.86840862906</v>
      </c>
      <c r="D149">
        <f>($D$33+(($D$3-$D$33)/($A$3-$A$33))*(A149-$A$33))*(1+Input!F$4)</f>
        <v>64.35000000000001</v>
      </c>
      <c r="E149" s="738">
        <f t="shared" si="62"/>
        <v>0.015540015540015538</v>
      </c>
      <c r="F149" s="738"/>
      <c r="G149" s="738"/>
      <c r="M149" s="740">
        <f t="shared" si="57"/>
        <v>190550315.6073203</v>
      </c>
      <c r="N149" s="740">
        <f t="shared" si="63"/>
        <v>1667315261.5640526</v>
      </c>
      <c r="O149" s="740">
        <f t="shared" si="58"/>
        <v>11293044355.159115</v>
      </c>
      <c r="P149" s="740">
        <f t="shared" si="59"/>
        <v>900405.1345227989</v>
      </c>
      <c r="Q149" s="741">
        <f t="shared" si="64"/>
        <v>59.265419315449684</v>
      </c>
      <c r="R149" s="712">
        <f t="shared" si="60"/>
        <v>0.033442003850125544</v>
      </c>
      <c r="S149" s="740">
        <f t="shared" si="65"/>
        <v>0.027630166743541205</v>
      </c>
    </row>
    <row r="150" spans="1:19" ht="12.75">
      <c r="A150">
        <f t="shared" si="66"/>
        <v>2016</v>
      </c>
      <c r="B150" s="712">
        <f t="shared" si="67"/>
        <v>0.07</v>
      </c>
      <c r="C150" s="734">
        <f>B150*Input!C23</f>
        <v>156284.56217627853</v>
      </c>
      <c r="D150">
        <f>($D$33+(($D$3-$D$33)/($A$3-$A$33))*(A150-$A$33))*(1+Input!F$4)</f>
        <v>62.7</v>
      </c>
      <c r="E150" s="738">
        <f t="shared" si="62"/>
        <v>0.01594896331738437</v>
      </c>
      <c r="F150" s="738"/>
      <c r="G150" s="738"/>
      <c r="M150" s="740">
        <f t="shared" si="57"/>
        <v>160067640.08719012</v>
      </c>
      <c r="N150" s="740">
        <f t="shared" si="63"/>
        <v>1400591850.7629135</v>
      </c>
      <c r="O150" s="740">
        <f t="shared" si="58"/>
        <v>9304089575.240938</v>
      </c>
      <c r="P150" s="740">
        <f t="shared" si="59"/>
        <v>740834.4636060772</v>
      </c>
      <c r="Q150" s="741">
        <f t="shared" si="64"/>
        <v>58.12598705255432</v>
      </c>
      <c r="R150" s="712">
        <f t="shared" si="60"/>
        <v>0.02791056687730129</v>
      </c>
      <c r="S150" s="740">
        <f t="shared" si="65"/>
        <v>0.023037048372356265</v>
      </c>
    </row>
    <row r="151" spans="1:19" ht="12.75">
      <c r="A151">
        <f t="shared" si="66"/>
        <v>2015</v>
      </c>
      <c r="B151" s="712">
        <f t="shared" si="67"/>
        <v>0.06250000000000001</v>
      </c>
      <c r="C151" s="734">
        <f>B151*Input!C24</f>
        <v>138079.00646773682</v>
      </c>
      <c r="D151">
        <f>($D$33+(($D$3-$D$33)/($A$3-$A$33))*(A151-$A$33))*(1+Input!F$4)</f>
        <v>61.050000000000004</v>
      </c>
      <c r="E151" s="738">
        <f t="shared" si="62"/>
        <v>0.01638001638001638</v>
      </c>
      <c r="F151" s="738"/>
      <c r="G151" s="738"/>
      <c r="M151" s="740">
        <f t="shared" si="57"/>
        <v>131449679.75518607</v>
      </c>
      <c r="N151" s="740">
        <f t="shared" si="63"/>
        <v>1150184697.857878</v>
      </c>
      <c r="O151" s="740">
        <f t="shared" si="58"/>
        <v>7492991770.740299</v>
      </c>
      <c r="P151" s="740">
        <f t="shared" si="59"/>
        <v>596385.3773892354</v>
      </c>
      <c r="Q151" s="741">
        <f t="shared" si="64"/>
        <v>57.0027388784466</v>
      </c>
      <c r="R151" s="712">
        <f t="shared" si="60"/>
        <v>0.02278423106448072</v>
      </c>
      <c r="S151" s="740">
        <f t="shared" si="65"/>
        <v>0.01880011890089726</v>
      </c>
    </row>
    <row r="152" spans="1:19" ht="12.75">
      <c r="A152">
        <f t="shared" si="66"/>
        <v>2014</v>
      </c>
      <c r="B152" s="712">
        <f t="shared" si="67"/>
        <v>0.05500000000000001</v>
      </c>
      <c r="C152" s="734">
        <f>B152*Input!C25</f>
        <v>120237.49545224772</v>
      </c>
      <c r="D152">
        <f>($D$33+(($D$3-$D$33)/($A$3-$A$33))*(A152-$A$33))*(1+Input!F$4)</f>
        <v>59.400000000000006</v>
      </c>
      <c r="E152" s="738">
        <f t="shared" si="62"/>
        <v>0.016835016835016835</v>
      </c>
      <c r="F152" s="738"/>
      <c r="G152" s="738"/>
      <c r="M152" s="740">
        <f t="shared" si="57"/>
        <v>104972875.70870091</v>
      </c>
      <c r="N152" s="740">
        <f t="shared" si="63"/>
        <v>918512662.451133</v>
      </c>
      <c r="O152" s="740">
        <f t="shared" si="58"/>
        <v>5867271815.68642</v>
      </c>
      <c r="P152" s="740">
        <f t="shared" si="59"/>
        <v>467297.39892945206</v>
      </c>
      <c r="Q152" s="741">
        <f t="shared" si="64"/>
        <v>55.89321790105154</v>
      </c>
      <c r="R152" s="712">
        <f t="shared" si="60"/>
        <v>0.018095451987899514</v>
      </c>
      <c r="S152" s="740">
        <f t="shared" si="65"/>
        <v>0.014937633724686676</v>
      </c>
    </row>
    <row r="153" spans="1:19" ht="12.75">
      <c r="A153">
        <f t="shared" si="66"/>
        <v>2013</v>
      </c>
      <c r="B153" s="712">
        <f t="shared" si="67"/>
        <v>0.04750000000000001</v>
      </c>
      <c r="C153" s="734">
        <f>B153*Input!C26</f>
        <v>102754.40224149614</v>
      </c>
      <c r="D153">
        <f>($D$33+(($D$3-$D$33)/($A$3-$A$33))*(A153-$A$33))*(1+Input!F$4)</f>
        <v>57.75</v>
      </c>
      <c r="E153" s="738">
        <f t="shared" si="62"/>
        <v>0.017316017316017316</v>
      </c>
      <c r="F153" s="738"/>
      <c r="G153" s="738"/>
      <c r="M153" s="740">
        <f t="shared" si="57"/>
        <v>80904427.78966828</v>
      </c>
      <c r="N153" s="740">
        <f t="shared" si="63"/>
        <v>707913743.1595974</v>
      </c>
      <c r="O153" s="740">
        <f t="shared" si="58"/>
        <v>4433141017.4772415</v>
      </c>
      <c r="P153" s="740">
        <f t="shared" si="59"/>
        <v>353766.0016816196</v>
      </c>
      <c r="Q153" s="741">
        <f t="shared" si="64"/>
        <v>54.79478859923864</v>
      </c>
      <c r="R153" s="712">
        <f t="shared" si="60"/>
        <v>0.01387618980165775</v>
      </c>
      <c r="S153" s="740">
        <f t="shared" si="65"/>
        <v>0.011470074649221312</v>
      </c>
    </row>
    <row r="154" spans="1:19" ht="12.75">
      <c r="A154">
        <f t="shared" si="66"/>
        <v>2012</v>
      </c>
      <c r="B154" s="712">
        <f t="shared" si="67"/>
        <v>0.04</v>
      </c>
      <c r="C154" s="734">
        <f>B154*Input!C27</f>
        <v>85624.17786208661</v>
      </c>
      <c r="D154">
        <f>($D$33+(($D$3-$D$33)/($A$3-$A$33))*(A154-$A$33))*(1+Input!F$4)</f>
        <v>56.1</v>
      </c>
      <c r="E154" s="738">
        <f t="shared" si="62"/>
        <v>0.017825311942959002</v>
      </c>
      <c r="F154" s="738"/>
      <c r="G154" s="738"/>
      <c r="M154" s="740">
        <f t="shared" si="57"/>
        <v>59485812.68156783</v>
      </c>
      <c r="N154" s="740">
        <f t="shared" si="63"/>
        <v>520500860.96371853</v>
      </c>
      <c r="O154" s="740">
        <f t="shared" si="58"/>
        <v>3194741876.734907</v>
      </c>
      <c r="P154" s="740">
        <f t="shared" si="59"/>
        <v>255878.0106616045</v>
      </c>
      <c r="Q154" s="741">
        <f t="shared" si="64"/>
        <v>53.705946556309286</v>
      </c>
      <c r="R154" s="712">
        <f t="shared" si="60"/>
        <v>0.010155372054268974</v>
      </c>
      <c r="S154" s="740">
        <f t="shared" si="65"/>
        <v>0.008416745175830352</v>
      </c>
    </row>
    <row r="155" spans="1:19" ht="12.75">
      <c r="A155">
        <f t="shared" si="66"/>
        <v>2011</v>
      </c>
      <c r="B155" s="712">
        <f t="shared" si="67"/>
        <v>0.0325</v>
      </c>
      <c r="C155" s="734">
        <f>B155*Input!C28</f>
        <v>68841.35024088448</v>
      </c>
      <c r="D155">
        <f>($D$33+(($D$3-$D$33)/($A$3-$A$33))*(A155-$A$33))*(1+Input!F$4)</f>
        <v>54.45</v>
      </c>
      <c r="E155" s="738">
        <f t="shared" si="62"/>
        <v>0.018365472910927456</v>
      </c>
      <c r="F155" s="738"/>
      <c r="G155" s="738"/>
      <c r="M155" s="740">
        <f t="shared" si="57"/>
        <v>40943629.06460259</v>
      </c>
      <c r="N155" s="740">
        <f t="shared" si="63"/>
        <v>358256754.3152727</v>
      </c>
      <c r="O155" s="740">
        <f t="shared" si="58"/>
        <v>2154708678.122577</v>
      </c>
      <c r="P155" s="740">
        <f t="shared" si="59"/>
        <v>173651.61664448289</v>
      </c>
      <c r="Q155" s="741">
        <f t="shared" si="64"/>
        <v>52.62622604173134</v>
      </c>
      <c r="R155" s="712">
        <f t="shared" si="60"/>
        <v>0.006959391595722493</v>
      </c>
      <c r="S155" s="740">
        <f t="shared" si="65"/>
        <v>0.005795600855652052</v>
      </c>
    </row>
    <row r="156" spans="1:19" ht="12.75">
      <c r="A156">
        <f t="shared" si="66"/>
        <v>2010</v>
      </c>
      <c r="B156" s="712">
        <f t="shared" si="67"/>
        <v>0.025</v>
      </c>
      <c r="C156" s="734">
        <f>B156*Input!C29</f>
        <v>52400.52320306136</v>
      </c>
      <c r="D156">
        <f>($D$33+(($D$3-$D$33)/($A$3-$A$33))*(A156-$A$33))*(1+Input!F$4)</f>
        <v>52.800000000000004</v>
      </c>
      <c r="E156" s="738">
        <f t="shared" si="62"/>
        <v>0.018939393939393936</v>
      </c>
      <c r="F156" s="738"/>
      <c r="G156" s="738"/>
      <c r="M156" s="740">
        <f t="shared" si="57"/>
        <v>25488478.686684377</v>
      </c>
      <c r="N156" s="740">
        <f t="shared" si="63"/>
        <v>223024188.5084883</v>
      </c>
      <c r="O156" s="740">
        <f t="shared" si="58"/>
        <v>1314128049.4354522</v>
      </c>
      <c r="P156" s="740">
        <f t="shared" si="59"/>
        <v>107026.31868008364</v>
      </c>
      <c r="Q156" s="741">
        <f t="shared" si="64"/>
        <v>51.55772792834338</v>
      </c>
      <c r="R156" s="712">
        <f t="shared" si="60"/>
        <v>0.004314524079888534</v>
      </c>
      <c r="S156" s="740">
        <f t="shared" si="65"/>
        <v>0.0036244620896735322</v>
      </c>
    </row>
    <row r="157" spans="1:19" ht="12.75">
      <c r="A157">
        <f t="shared" si="66"/>
        <v>2009</v>
      </c>
      <c r="B157" s="712">
        <f>B$158+(ABS(A157-A$158)*($B$146-B$158)/(A$146-A$158))</f>
        <v>0.0175</v>
      </c>
      <c r="C157" s="734">
        <f>B157*Input!C30</f>
        <v>36148.466910616575</v>
      </c>
      <c r="D157">
        <f>($D$33+(($D$3-$D$33)/($A$3-$A$33))*(A157-$A$33))*(1+Input!F$4)</f>
        <v>51.150000000000006</v>
      </c>
      <c r="E157" s="738">
        <f t="shared" si="62"/>
        <v>0.01955034213098729</v>
      </c>
      <c r="F157" s="738"/>
      <c r="G157" s="738"/>
      <c r="M157" s="740">
        <f t="shared" si="57"/>
        <v>13341689.784482446</v>
      </c>
      <c r="N157" s="740">
        <f t="shared" si="63"/>
        <v>116739785.6142214</v>
      </c>
      <c r="O157" s="740">
        <f t="shared" si="58"/>
        <v>673823559.4761422</v>
      </c>
      <c r="P157" s="740">
        <f t="shared" si="59"/>
        <v>55937.245872695625</v>
      </c>
      <c r="Q157" s="741">
        <f t="shared" si="64"/>
        <v>50.50511369705643</v>
      </c>
      <c r="R157" s="712">
        <f t="shared" si="60"/>
        <v>0.0022495149549886383</v>
      </c>
      <c r="S157" s="740">
        <f t="shared" si="65"/>
        <v>0.0019221631747945087</v>
      </c>
    </row>
    <row r="158" spans="1:19" ht="12.75">
      <c r="A158">
        <f t="shared" si="66"/>
        <v>2008</v>
      </c>
      <c r="B158" s="712">
        <f>Input!B45</f>
        <v>0.01</v>
      </c>
      <c r="C158" s="734">
        <f>B158*Input!C31</f>
        <v>20356.731778704918</v>
      </c>
      <c r="D158">
        <f>($D$33+(($D$3-$D$33)/($A$3-$A$33))*(A158-$A$33))*(1+Input!F$4)</f>
        <v>49.5</v>
      </c>
      <c r="E158" s="738">
        <f t="shared" si="62"/>
        <v>0.020202020202020204</v>
      </c>
      <c r="F158" s="738"/>
      <c r="G158" s="738"/>
      <c r="M158" s="740">
        <f t="shared" si="57"/>
        <v>4729341.726365789</v>
      </c>
      <c r="N158" s="740">
        <f t="shared" si="63"/>
        <v>41381740.10570065</v>
      </c>
      <c r="O158" s="740">
        <f t="shared" si="58"/>
        <v>234102415.45510656</v>
      </c>
      <c r="P158" s="740">
        <f t="shared" si="59"/>
        <v>20356.731778704918</v>
      </c>
      <c r="Q158" s="741">
        <f t="shared" si="64"/>
        <v>49.5</v>
      </c>
      <c r="R158" s="712">
        <f t="shared" si="60"/>
        <v>0.0007945772051064917</v>
      </c>
      <c r="S158" s="740">
        <f t="shared" si="65"/>
        <v>0.0007095381877266053</v>
      </c>
    </row>
    <row r="159" spans="1:19" ht="12.75">
      <c r="A159">
        <f t="shared" si="66"/>
        <v>2007</v>
      </c>
      <c r="B159" s="712">
        <v>0</v>
      </c>
      <c r="C159" s="734">
        <f>B159*Input!C32</f>
        <v>0</v>
      </c>
      <c r="D159">
        <f>($D$33+(($D$3-$D$33)/($A$3-$A$33))*(A159-$A$33))*(1+Input!F$4)</f>
        <v>47.85</v>
      </c>
      <c r="E159" s="738">
        <f t="shared" si="62"/>
        <v>0.02089864158829676</v>
      </c>
      <c r="F159" s="738"/>
      <c r="G159" s="738"/>
      <c r="M159" s="740">
        <f t="shared" si="57"/>
        <v>0</v>
      </c>
      <c r="N159" s="740">
        <f t="shared" si="63"/>
        <v>0</v>
      </c>
      <c r="O159" s="740">
        <f t="shared" si="58"/>
        <v>0</v>
      </c>
      <c r="P159" s="740">
        <f t="shared" si="59"/>
        <v>0</v>
      </c>
      <c r="Q159" s="741" t="e">
        <f t="shared" si="64"/>
        <v>#DIV/0!</v>
      </c>
      <c r="R159" s="712">
        <f t="shared" si="60"/>
        <v>0</v>
      </c>
      <c r="S159" s="740">
        <f t="shared" si="65"/>
        <v>0</v>
      </c>
    </row>
    <row r="160" spans="1:19" ht="12.75">
      <c r="A160">
        <f t="shared" si="66"/>
        <v>2006</v>
      </c>
      <c r="B160" s="712">
        <v>0</v>
      </c>
      <c r="C160" s="734">
        <f>B160*Input!C33</f>
        <v>0</v>
      </c>
      <c r="D160">
        <f>($D$33+(($D$3-$D$33)/($A$3-$A$33))*(A160-$A$33))*(1+Input!F$4)</f>
        <v>46.2</v>
      </c>
      <c r="E160" s="738">
        <f t="shared" si="62"/>
        <v>0.021645021645021644</v>
      </c>
      <c r="F160" s="738"/>
      <c r="G160" s="738"/>
      <c r="M160" s="740">
        <f t="shared" si="57"/>
        <v>0</v>
      </c>
      <c r="N160" s="740">
        <f t="shared" si="63"/>
        <v>0</v>
      </c>
      <c r="O160" s="740">
        <f t="shared" si="58"/>
        <v>0</v>
      </c>
      <c r="P160" s="740">
        <f t="shared" si="59"/>
        <v>0</v>
      </c>
      <c r="Q160" s="741" t="e">
        <f t="shared" si="64"/>
        <v>#DIV/0!</v>
      </c>
      <c r="R160" s="712">
        <f t="shared" si="60"/>
        <v>0</v>
      </c>
      <c r="S160" s="740">
        <f t="shared" si="65"/>
        <v>0</v>
      </c>
    </row>
    <row r="161" spans="1:19" ht="12.75">
      <c r="A161">
        <f t="shared" si="66"/>
        <v>2005</v>
      </c>
      <c r="B161" s="712">
        <v>0</v>
      </c>
      <c r="C161" s="734">
        <f>B161*Input!C34</f>
        <v>0</v>
      </c>
      <c r="D161">
        <f>($D$33+(($D$3-$D$33)/($A$3-$A$33))*(A161-$A$33))*(1+Input!F$4)</f>
        <v>44.550000000000004</v>
      </c>
      <c r="E161" s="738">
        <f t="shared" si="62"/>
        <v>0.02244668911335578</v>
      </c>
      <c r="F161" s="738"/>
      <c r="G161" s="738"/>
      <c r="M161" s="740">
        <f t="shared" si="57"/>
        <v>0</v>
      </c>
      <c r="N161" s="740">
        <f t="shared" si="63"/>
        <v>0</v>
      </c>
      <c r="O161" s="740">
        <f t="shared" si="58"/>
        <v>0</v>
      </c>
      <c r="P161" s="740">
        <f t="shared" si="59"/>
        <v>0</v>
      </c>
      <c r="Q161" s="741" t="e">
        <f t="shared" si="64"/>
        <v>#DIV/0!</v>
      </c>
      <c r="R161" s="712">
        <f t="shared" si="60"/>
        <v>0</v>
      </c>
      <c r="S161" s="740">
        <f t="shared" si="65"/>
        <v>0</v>
      </c>
    </row>
    <row r="162" spans="1:19" ht="12.75">
      <c r="A162">
        <f t="shared" si="66"/>
        <v>2004</v>
      </c>
      <c r="B162" s="712">
        <v>0</v>
      </c>
      <c r="C162" s="734">
        <f>B162*Input!C35</f>
        <v>0</v>
      </c>
      <c r="D162">
        <f>($D$33+(($D$3-$D$33)/($A$3-$A$33))*(A162-$A$33))*(1+Input!F$4)</f>
        <v>42.9</v>
      </c>
      <c r="E162" s="738">
        <f t="shared" si="62"/>
        <v>0.023310023310023312</v>
      </c>
      <c r="F162" s="738"/>
      <c r="G162" s="738"/>
      <c r="M162" s="740">
        <f t="shared" si="57"/>
        <v>0</v>
      </c>
      <c r="N162" s="740">
        <f t="shared" si="63"/>
        <v>0</v>
      </c>
      <c r="O162" s="740">
        <f t="shared" si="58"/>
        <v>0</v>
      </c>
      <c r="P162" s="740">
        <f t="shared" si="59"/>
        <v>0</v>
      </c>
      <c r="Q162" s="741" t="e">
        <f t="shared" si="64"/>
        <v>#DIV/0!</v>
      </c>
      <c r="R162" s="712">
        <f t="shared" si="60"/>
        <v>0</v>
      </c>
      <c r="S162" s="740">
        <f t="shared" si="65"/>
        <v>0</v>
      </c>
    </row>
    <row r="163" spans="1:19" ht="12.75">
      <c r="A163">
        <f t="shared" si="66"/>
        <v>2003</v>
      </c>
      <c r="B163" s="712">
        <v>0</v>
      </c>
      <c r="C163" s="734">
        <f>B163*Input!C36</f>
        <v>0</v>
      </c>
      <c r="D163">
        <f>($D$33+(($D$3-$D$33)/($A$3-$A$33))*(A163-$A$33))*(1+Input!F$4)</f>
        <v>41.25</v>
      </c>
      <c r="E163" s="738">
        <f t="shared" si="62"/>
        <v>0.024242424242424242</v>
      </c>
      <c r="F163" s="738"/>
      <c r="G163" s="738"/>
      <c r="M163" s="740">
        <f t="shared" si="57"/>
        <v>0</v>
      </c>
      <c r="N163" s="740">
        <f t="shared" si="63"/>
        <v>0</v>
      </c>
      <c r="O163" s="740">
        <f t="shared" si="58"/>
        <v>0</v>
      </c>
      <c r="P163" s="740">
        <f t="shared" si="59"/>
        <v>0</v>
      </c>
      <c r="Q163" s="741" t="e">
        <f t="shared" si="64"/>
        <v>#DIV/0!</v>
      </c>
      <c r="R163" s="712">
        <f t="shared" si="60"/>
        <v>0</v>
      </c>
      <c r="S163" s="740">
        <f t="shared" si="65"/>
        <v>0</v>
      </c>
    </row>
    <row r="164" spans="1:19" ht="12.75">
      <c r="A164">
        <f t="shared" si="66"/>
        <v>2002</v>
      </c>
      <c r="B164" s="712">
        <v>0</v>
      </c>
      <c r="C164" s="734">
        <f>B164*Input!C37</f>
        <v>0</v>
      </c>
      <c r="D164">
        <f>($D$33+(($D$3-$D$33)/($A$3-$A$33))*(A164-$A$33))*(1+Input!F$4)</f>
        <v>39.6</v>
      </c>
      <c r="E164" s="738">
        <f t="shared" si="62"/>
        <v>0.025252525252525252</v>
      </c>
      <c r="F164" s="738"/>
      <c r="G164" s="738"/>
      <c r="M164" s="740">
        <f t="shared" si="57"/>
        <v>0</v>
      </c>
      <c r="N164" s="740">
        <f t="shared" si="63"/>
        <v>0</v>
      </c>
      <c r="O164" s="740">
        <f t="shared" si="58"/>
        <v>0</v>
      </c>
      <c r="P164" s="740">
        <f t="shared" si="59"/>
        <v>0</v>
      </c>
      <c r="Q164" s="741" t="e">
        <f t="shared" si="64"/>
        <v>#DIV/0!</v>
      </c>
      <c r="R164" s="712">
        <f t="shared" si="60"/>
        <v>0</v>
      </c>
      <c r="S164" s="740">
        <f t="shared" si="65"/>
        <v>0</v>
      </c>
    </row>
    <row r="165" spans="1:19" ht="12.75">
      <c r="A165">
        <f t="shared" si="66"/>
        <v>2001</v>
      </c>
      <c r="B165" s="712">
        <v>0</v>
      </c>
      <c r="C165" s="734">
        <f>B165*Input!C38</f>
        <v>0</v>
      </c>
      <c r="D165">
        <f>($D$33+(($D$3-$D$33)/($A$3-$A$33))*(A165-$A$33))*(1+Input!F$4)</f>
        <v>37.95</v>
      </c>
      <c r="E165" s="738">
        <f t="shared" si="62"/>
        <v>0.026350461133069828</v>
      </c>
      <c r="F165" s="738"/>
      <c r="G165" s="738"/>
      <c r="M165" s="740">
        <f t="shared" si="57"/>
        <v>0</v>
      </c>
      <c r="N165" s="740">
        <f t="shared" si="63"/>
        <v>0</v>
      </c>
      <c r="O165" s="740">
        <f t="shared" si="58"/>
        <v>0</v>
      </c>
      <c r="P165" s="740">
        <f t="shared" si="59"/>
        <v>0</v>
      </c>
      <c r="Q165" s="741" t="e">
        <f t="shared" si="64"/>
        <v>#DIV/0!</v>
      </c>
      <c r="R165" s="712">
        <f t="shared" si="60"/>
        <v>0</v>
      </c>
      <c r="S165" s="740">
        <f t="shared" si="65"/>
        <v>0</v>
      </c>
    </row>
    <row r="166" spans="1:7" ht="12.75">
      <c r="A166">
        <f t="shared" si="66"/>
        <v>2000</v>
      </c>
      <c r="B166" s="712">
        <v>0</v>
      </c>
      <c r="C166" s="734">
        <f>B166*Input!C39</f>
        <v>0</v>
      </c>
      <c r="D166">
        <f>Input!E$5*(1+Input!F$4)</f>
        <v>36.300000000000004</v>
      </c>
      <c r="E166" s="738">
        <f t="shared" si="62"/>
        <v>0.027548209366391182</v>
      </c>
      <c r="F166" s="738"/>
      <c r="G166" s="738"/>
    </row>
    <row r="167" spans="1:7" ht="12.75">
      <c r="A167">
        <f t="shared" si="66"/>
        <v>1999</v>
      </c>
      <c r="B167" s="712">
        <v>0</v>
      </c>
      <c r="C167" s="734">
        <f>U34*B167</f>
        <v>0</v>
      </c>
      <c r="D167">
        <f>Input!E$5*(1+Input!F$4)</f>
        <v>36.300000000000004</v>
      </c>
      <c r="E167" s="738">
        <f t="shared" si="62"/>
        <v>0.027548209366391182</v>
      </c>
      <c r="F167" s="738"/>
      <c r="G167" s="738"/>
    </row>
    <row r="168" spans="1:7" ht="12.75">
      <c r="A168">
        <f t="shared" si="66"/>
        <v>1998</v>
      </c>
      <c r="B168" s="712">
        <f>B167</f>
        <v>0</v>
      </c>
      <c r="C168" s="734">
        <f aca="true" t="shared" si="68" ref="C168:C196">U35*B168</f>
        <v>0</v>
      </c>
      <c r="D168">
        <f>Input!E$5*(1+Input!F$4)</f>
        <v>36.300000000000004</v>
      </c>
      <c r="E168" s="738">
        <f t="shared" si="62"/>
        <v>0.027548209366391182</v>
      </c>
      <c r="F168" s="738"/>
      <c r="G168" s="738"/>
    </row>
    <row r="169" spans="1:7" ht="12.75">
      <c r="A169">
        <f t="shared" si="66"/>
        <v>1997</v>
      </c>
      <c r="B169" s="712">
        <f aca="true" t="shared" si="69" ref="B169:B196">B168</f>
        <v>0</v>
      </c>
      <c r="C169" s="734">
        <f t="shared" si="68"/>
        <v>0</v>
      </c>
      <c r="D169">
        <f>Input!E$5*(1+Input!F$4)</f>
        <v>36.300000000000004</v>
      </c>
      <c r="E169" s="738">
        <f t="shared" si="62"/>
        <v>0.027548209366391182</v>
      </c>
      <c r="F169" s="738"/>
      <c r="G169" s="738"/>
    </row>
    <row r="170" spans="1:7" ht="12.75">
      <c r="A170">
        <f t="shared" si="66"/>
        <v>1996</v>
      </c>
      <c r="B170" s="712">
        <f t="shared" si="69"/>
        <v>0</v>
      </c>
      <c r="C170" s="734">
        <f t="shared" si="68"/>
        <v>0</v>
      </c>
      <c r="D170">
        <f>Input!E$5*(1+Input!F$4)</f>
        <v>36.300000000000004</v>
      </c>
      <c r="E170" s="738">
        <f t="shared" si="62"/>
        <v>0.027548209366391182</v>
      </c>
      <c r="F170" s="738"/>
      <c r="G170" s="738"/>
    </row>
    <row r="171" spans="1:7" ht="12.75">
      <c r="A171">
        <f t="shared" si="66"/>
        <v>1995</v>
      </c>
      <c r="B171" s="712">
        <f t="shared" si="69"/>
        <v>0</v>
      </c>
      <c r="C171" s="734">
        <f t="shared" si="68"/>
        <v>0</v>
      </c>
      <c r="D171">
        <f>Input!E$5*(1+Input!F$4)</f>
        <v>36.300000000000004</v>
      </c>
      <c r="E171" s="738">
        <f t="shared" si="62"/>
        <v>0.027548209366391182</v>
      </c>
      <c r="F171" s="738"/>
      <c r="G171" s="738"/>
    </row>
    <row r="172" spans="1:7" ht="12.75">
      <c r="A172">
        <f t="shared" si="66"/>
        <v>1994</v>
      </c>
      <c r="B172" s="712">
        <f t="shared" si="69"/>
        <v>0</v>
      </c>
      <c r="C172" s="734">
        <f t="shared" si="68"/>
        <v>0</v>
      </c>
      <c r="D172">
        <f>Input!E$5*(1+Input!F$4)</f>
        <v>36.300000000000004</v>
      </c>
      <c r="E172" s="738">
        <f t="shared" si="62"/>
        <v>0.027548209366391182</v>
      </c>
      <c r="F172" s="738"/>
      <c r="G172" s="738"/>
    </row>
    <row r="173" spans="1:7" ht="12.75">
      <c r="A173">
        <f t="shared" si="66"/>
        <v>1993</v>
      </c>
      <c r="B173" s="712">
        <f t="shared" si="69"/>
        <v>0</v>
      </c>
      <c r="C173" s="734">
        <f t="shared" si="68"/>
        <v>0</v>
      </c>
      <c r="D173">
        <f>Input!E$5*(1+Input!F$4)</f>
        <v>36.300000000000004</v>
      </c>
      <c r="E173" s="738">
        <f t="shared" si="62"/>
        <v>0.027548209366391182</v>
      </c>
      <c r="F173" s="738"/>
      <c r="G173" s="738"/>
    </row>
    <row r="174" spans="1:7" ht="12.75">
      <c r="A174">
        <f t="shared" si="66"/>
        <v>1992</v>
      </c>
      <c r="B174" s="712">
        <f t="shared" si="69"/>
        <v>0</v>
      </c>
      <c r="C174" s="734">
        <f t="shared" si="68"/>
        <v>0</v>
      </c>
      <c r="D174">
        <f>Input!E$5*(1+Input!F$4)</f>
        <v>36.300000000000004</v>
      </c>
      <c r="E174" s="738">
        <f t="shared" si="62"/>
        <v>0.027548209366391182</v>
      </c>
      <c r="F174" s="738"/>
      <c r="G174" s="738"/>
    </row>
    <row r="175" spans="1:7" ht="12.75">
      <c r="A175">
        <f t="shared" si="66"/>
        <v>1991</v>
      </c>
      <c r="B175" s="712">
        <f t="shared" si="69"/>
        <v>0</v>
      </c>
      <c r="C175" s="734">
        <f t="shared" si="68"/>
        <v>0</v>
      </c>
      <c r="D175">
        <f>Input!E$5*(1+Input!F$4)</f>
        <v>36.300000000000004</v>
      </c>
      <c r="E175" s="738">
        <f t="shared" si="62"/>
        <v>0.027548209366391182</v>
      </c>
      <c r="F175" s="738"/>
      <c r="G175" s="738"/>
    </row>
    <row r="176" spans="1:7" ht="12.75">
      <c r="A176">
        <f t="shared" si="66"/>
        <v>1990</v>
      </c>
      <c r="B176" s="712">
        <f t="shared" si="69"/>
        <v>0</v>
      </c>
      <c r="C176" s="734">
        <f t="shared" si="68"/>
        <v>0</v>
      </c>
      <c r="D176">
        <f>Input!E$5*(1+Input!F$4)</f>
        <v>36.300000000000004</v>
      </c>
      <c r="E176" s="738">
        <f t="shared" si="62"/>
        <v>0.027548209366391182</v>
      </c>
      <c r="F176" s="738"/>
      <c r="G176" s="738"/>
    </row>
    <row r="177" spans="1:7" ht="12.75">
      <c r="A177">
        <f t="shared" si="66"/>
        <v>1989</v>
      </c>
      <c r="B177" s="712">
        <f t="shared" si="69"/>
        <v>0</v>
      </c>
      <c r="C177" s="734">
        <f t="shared" si="68"/>
        <v>0</v>
      </c>
      <c r="D177">
        <f>Input!E$5*(1+Input!F$4)</f>
        <v>36.300000000000004</v>
      </c>
      <c r="E177" s="738">
        <f t="shared" si="62"/>
        <v>0.027548209366391182</v>
      </c>
      <c r="F177" s="738"/>
      <c r="G177" s="738"/>
    </row>
    <row r="178" spans="1:7" ht="12.75">
      <c r="A178">
        <f t="shared" si="66"/>
        <v>1988</v>
      </c>
      <c r="B178" s="712">
        <f t="shared" si="69"/>
        <v>0</v>
      </c>
      <c r="C178" s="734">
        <f t="shared" si="68"/>
        <v>0</v>
      </c>
      <c r="D178">
        <f>Input!E$5*(1+Input!F$4)</f>
        <v>36.300000000000004</v>
      </c>
      <c r="E178" s="738">
        <f t="shared" si="62"/>
        <v>0.027548209366391182</v>
      </c>
      <c r="F178" s="738"/>
      <c r="G178" s="738"/>
    </row>
    <row r="179" spans="1:7" ht="12.75">
      <c r="A179">
        <f t="shared" si="66"/>
        <v>1987</v>
      </c>
      <c r="B179" s="712">
        <f t="shared" si="69"/>
        <v>0</v>
      </c>
      <c r="C179" s="734">
        <f t="shared" si="68"/>
        <v>0</v>
      </c>
      <c r="D179">
        <f>Input!E$5*(1+Input!F$4)</f>
        <v>36.300000000000004</v>
      </c>
      <c r="E179" s="738">
        <f t="shared" si="62"/>
        <v>0.027548209366391182</v>
      </c>
      <c r="F179" s="738"/>
      <c r="G179" s="738"/>
    </row>
    <row r="180" spans="1:7" ht="12.75">
      <c r="A180">
        <f t="shared" si="66"/>
        <v>1986</v>
      </c>
      <c r="B180" s="712">
        <f t="shared" si="69"/>
        <v>0</v>
      </c>
      <c r="C180" s="734">
        <f t="shared" si="68"/>
        <v>0</v>
      </c>
      <c r="D180">
        <f>Input!E$5*(1+Input!F$4)</f>
        <v>36.300000000000004</v>
      </c>
      <c r="E180" s="738">
        <f t="shared" si="62"/>
        <v>0.027548209366391182</v>
      </c>
      <c r="F180" s="738"/>
      <c r="G180" s="738"/>
    </row>
    <row r="181" spans="1:7" ht="12.75">
      <c r="A181">
        <f t="shared" si="66"/>
        <v>1985</v>
      </c>
      <c r="B181" s="712">
        <f t="shared" si="69"/>
        <v>0</v>
      </c>
      <c r="C181" s="734">
        <f t="shared" si="68"/>
        <v>0</v>
      </c>
      <c r="D181">
        <f>Input!E$5*(1+Input!F$4)</f>
        <v>36.300000000000004</v>
      </c>
      <c r="E181" s="738">
        <f t="shared" si="62"/>
        <v>0.027548209366391182</v>
      </c>
      <c r="F181" s="738"/>
      <c r="G181" s="738"/>
    </row>
    <row r="182" spans="1:7" ht="12.75">
      <c r="A182">
        <f t="shared" si="66"/>
        <v>1984</v>
      </c>
      <c r="B182" s="712">
        <f t="shared" si="69"/>
        <v>0</v>
      </c>
      <c r="C182" s="734">
        <f t="shared" si="68"/>
        <v>0</v>
      </c>
      <c r="D182">
        <f>Input!E$5*(1+Input!F$4)</f>
        <v>36.300000000000004</v>
      </c>
      <c r="E182" s="738">
        <f t="shared" si="62"/>
        <v>0.027548209366391182</v>
      </c>
      <c r="F182" s="738"/>
      <c r="G182" s="738"/>
    </row>
    <row r="183" spans="1:7" ht="12.75">
      <c r="A183">
        <f t="shared" si="66"/>
        <v>1983</v>
      </c>
      <c r="B183" s="712">
        <f t="shared" si="69"/>
        <v>0</v>
      </c>
      <c r="C183" s="734">
        <f t="shared" si="68"/>
        <v>0</v>
      </c>
      <c r="D183">
        <f>Input!E$5*(1+Input!F$4)</f>
        <v>36.300000000000004</v>
      </c>
      <c r="E183" s="738">
        <f t="shared" si="62"/>
        <v>0.027548209366391182</v>
      </c>
      <c r="F183" s="738"/>
      <c r="G183" s="738"/>
    </row>
    <row r="184" spans="1:7" ht="12.75">
      <c r="A184">
        <f t="shared" si="66"/>
        <v>1982</v>
      </c>
      <c r="B184" s="712">
        <f t="shared" si="69"/>
        <v>0</v>
      </c>
      <c r="C184" s="734">
        <f t="shared" si="68"/>
        <v>0</v>
      </c>
      <c r="D184">
        <f>Input!E$5*(1+Input!F$4)</f>
        <v>36.300000000000004</v>
      </c>
      <c r="E184" s="738">
        <f t="shared" si="62"/>
        <v>0.027548209366391182</v>
      </c>
      <c r="F184" s="738"/>
      <c r="G184" s="738"/>
    </row>
    <row r="185" spans="1:7" ht="12.75">
      <c r="A185">
        <f t="shared" si="66"/>
        <v>1981</v>
      </c>
      <c r="B185" s="712">
        <f t="shared" si="69"/>
        <v>0</v>
      </c>
      <c r="C185" s="734">
        <f t="shared" si="68"/>
        <v>0</v>
      </c>
      <c r="D185">
        <f>Input!E$5*(1+Input!F$4)</f>
        <v>36.300000000000004</v>
      </c>
      <c r="E185" s="738">
        <f t="shared" si="62"/>
        <v>0.027548209366391182</v>
      </c>
      <c r="F185" s="738"/>
      <c r="G185" s="738"/>
    </row>
    <row r="186" spans="1:7" ht="12.75">
      <c r="A186">
        <f t="shared" si="66"/>
        <v>1980</v>
      </c>
      <c r="B186" s="712">
        <f t="shared" si="69"/>
        <v>0</v>
      </c>
      <c r="C186" s="734">
        <f t="shared" si="68"/>
        <v>0</v>
      </c>
      <c r="D186">
        <f>Input!E$5*(1+Input!F$4)</f>
        <v>36.300000000000004</v>
      </c>
      <c r="E186" s="738">
        <f t="shared" si="62"/>
        <v>0.027548209366391182</v>
      </c>
      <c r="F186" s="738"/>
      <c r="G186" s="738"/>
    </row>
    <row r="187" spans="1:7" ht="12.75">
      <c r="A187">
        <f t="shared" si="66"/>
        <v>1979</v>
      </c>
      <c r="B187" s="712">
        <f t="shared" si="69"/>
        <v>0</v>
      </c>
      <c r="C187" s="734">
        <f t="shared" si="68"/>
        <v>0</v>
      </c>
      <c r="D187">
        <f>Input!E$5*(1+Input!F$4)</f>
        <v>36.300000000000004</v>
      </c>
      <c r="E187" s="738">
        <f t="shared" si="62"/>
        <v>0.027548209366391182</v>
      </c>
      <c r="F187" s="738"/>
      <c r="G187" s="738"/>
    </row>
    <row r="188" spans="1:7" ht="12.75">
      <c r="A188">
        <f t="shared" si="66"/>
        <v>1978</v>
      </c>
      <c r="B188" s="712">
        <f t="shared" si="69"/>
        <v>0</v>
      </c>
      <c r="C188" s="734">
        <f t="shared" si="68"/>
        <v>0</v>
      </c>
      <c r="D188">
        <f>Input!E$5*(1+Input!F$4)</f>
        <v>36.300000000000004</v>
      </c>
      <c r="E188" s="738">
        <f t="shared" si="62"/>
        <v>0.027548209366391182</v>
      </c>
      <c r="F188" s="738"/>
      <c r="G188" s="738"/>
    </row>
    <row r="189" spans="1:7" ht="12.75">
      <c r="A189">
        <f t="shared" si="66"/>
        <v>1977</v>
      </c>
      <c r="B189" s="712">
        <f t="shared" si="69"/>
        <v>0</v>
      </c>
      <c r="C189" s="734">
        <f t="shared" si="68"/>
        <v>0</v>
      </c>
      <c r="D189">
        <f>Input!E$5*(1+Input!F$4)</f>
        <v>36.300000000000004</v>
      </c>
      <c r="E189" s="738">
        <f t="shared" si="62"/>
        <v>0.027548209366391182</v>
      </c>
      <c r="F189" s="738"/>
      <c r="G189" s="738"/>
    </row>
    <row r="190" spans="1:7" ht="12.75">
      <c r="A190">
        <f t="shared" si="66"/>
        <v>1976</v>
      </c>
      <c r="B190" s="712">
        <f t="shared" si="69"/>
        <v>0</v>
      </c>
      <c r="C190" s="734">
        <f t="shared" si="68"/>
        <v>0</v>
      </c>
      <c r="D190">
        <f>Input!E$5*(1+Input!F$4)</f>
        <v>36.300000000000004</v>
      </c>
      <c r="E190" s="738">
        <f t="shared" si="62"/>
        <v>0.027548209366391182</v>
      </c>
      <c r="F190" s="738"/>
      <c r="G190" s="738"/>
    </row>
    <row r="191" spans="1:7" ht="12.75">
      <c r="A191">
        <f t="shared" si="66"/>
        <v>1975</v>
      </c>
      <c r="B191" s="712">
        <f t="shared" si="69"/>
        <v>0</v>
      </c>
      <c r="C191" s="734">
        <f t="shared" si="68"/>
        <v>0</v>
      </c>
      <c r="D191">
        <f>Input!E$5*(1+Input!F$4)</f>
        <v>36.300000000000004</v>
      </c>
      <c r="E191" s="738">
        <f t="shared" si="62"/>
        <v>0.027548209366391182</v>
      </c>
      <c r="F191" s="738"/>
      <c r="G191" s="738"/>
    </row>
    <row r="192" spans="1:7" ht="12.75">
      <c r="A192">
        <f t="shared" si="66"/>
        <v>1974</v>
      </c>
      <c r="B192" s="712">
        <f t="shared" si="69"/>
        <v>0</v>
      </c>
      <c r="C192" s="734">
        <f t="shared" si="68"/>
        <v>0</v>
      </c>
      <c r="D192">
        <f>Input!E$5*(1+Input!F$4)</f>
        <v>36.300000000000004</v>
      </c>
      <c r="E192" s="738">
        <f t="shared" si="62"/>
        <v>0.027548209366391182</v>
      </c>
      <c r="F192" s="738"/>
      <c r="G192" s="738"/>
    </row>
    <row r="193" spans="1:7" ht="12.75">
      <c r="A193">
        <f t="shared" si="66"/>
        <v>1973</v>
      </c>
      <c r="B193" s="712">
        <f t="shared" si="69"/>
        <v>0</v>
      </c>
      <c r="C193" s="734">
        <f t="shared" si="68"/>
        <v>0</v>
      </c>
      <c r="D193">
        <f>Input!E$5*(1+Input!F$4)</f>
        <v>36.300000000000004</v>
      </c>
      <c r="E193" s="738">
        <f t="shared" si="62"/>
        <v>0.027548209366391182</v>
      </c>
      <c r="F193" s="738"/>
      <c r="G193" s="738"/>
    </row>
    <row r="194" spans="1:7" ht="12.75">
      <c r="A194">
        <f t="shared" si="66"/>
        <v>1972</v>
      </c>
      <c r="B194" s="712">
        <f t="shared" si="69"/>
        <v>0</v>
      </c>
      <c r="C194" s="734">
        <f t="shared" si="68"/>
        <v>0</v>
      </c>
      <c r="D194">
        <f>Input!E$5*(1+Input!F$4)</f>
        <v>36.300000000000004</v>
      </c>
      <c r="E194" s="738">
        <f t="shared" si="62"/>
        <v>0.027548209366391182</v>
      </c>
      <c r="F194" s="738"/>
      <c r="G194" s="738"/>
    </row>
    <row r="195" spans="1:7" ht="12.75">
      <c r="A195">
        <f t="shared" si="66"/>
        <v>1971</v>
      </c>
      <c r="B195" s="712">
        <f t="shared" si="69"/>
        <v>0</v>
      </c>
      <c r="C195" s="734">
        <f t="shared" si="68"/>
        <v>0</v>
      </c>
      <c r="D195">
        <f>Input!E$5*(1+Input!F$4)</f>
        <v>36.300000000000004</v>
      </c>
      <c r="E195" s="738">
        <f t="shared" si="62"/>
        <v>0.027548209366391182</v>
      </c>
      <c r="F195" s="738"/>
      <c r="G195" s="738"/>
    </row>
    <row r="196" spans="1:7" ht="12.75">
      <c r="A196">
        <f t="shared" si="66"/>
        <v>1970</v>
      </c>
      <c r="B196" s="712">
        <f t="shared" si="69"/>
        <v>0</v>
      </c>
      <c r="C196" s="734">
        <f t="shared" si="68"/>
        <v>0</v>
      </c>
      <c r="D196">
        <f>Input!E$5*(1+Input!F$4)</f>
        <v>36.300000000000004</v>
      </c>
      <c r="E196" s="738">
        <f t="shared" si="62"/>
        <v>0.027548209366391182</v>
      </c>
      <c r="F196" s="738"/>
      <c r="G196" s="738"/>
    </row>
    <row r="197" spans="2:7" ht="12.75">
      <c r="B197" s="712"/>
      <c r="C197" s="734"/>
      <c r="E197" s="738"/>
      <c r="F197" s="738"/>
      <c r="G197" s="738"/>
    </row>
    <row r="199" ht="12.75">
      <c r="A199" t="s">
        <v>507</v>
      </c>
    </row>
    <row r="200" spans="1:19" ht="12.75">
      <c r="A200" t="s">
        <v>308</v>
      </c>
      <c r="B200" t="s">
        <v>516</v>
      </c>
      <c r="C200" t="s">
        <v>508</v>
      </c>
      <c r="D200" t="s">
        <v>470</v>
      </c>
      <c r="E200" t="s">
        <v>471</v>
      </c>
      <c r="M200" t="s">
        <v>475</v>
      </c>
      <c r="N200" t="s">
        <v>476</v>
      </c>
      <c r="O200" t="s">
        <v>477</v>
      </c>
      <c r="P200" t="s">
        <v>478</v>
      </c>
      <c r="R200" t="s">
        <v>509</v>
      </c>
      <c r="S200" t="s">
        <v>502</v>
      </c>
    </row>
    <row r="201" spans="1:19" ht="12.75">
      <c r="A201">
        <v>2030</v>
      </c>
      <c r="B201" s="712">
        <f>Input!D46</f>
        <v>0.1</v>
      </c>
      <c r="C201" s="734">
        <f>B201*Input!C9</f>
        <v>278592.92580544384</v>
      </c>
      <c r="D201">
        <f>Input!$H$4</f>
        <v>100</v>
      </c>
      <c r="E201">
        <f>1/D201</f>
        <v>0.01</v>
      </c>
      <c r="M201" s="740">
        <f>SUMPRODUCT($K$3:$K$33,E201:E231,C201:C231)</f>
        <v>452235806.9777751</v>
      </c>
      <c r="N201" s="740">
        <f>8.75*M201</f>
        <v>3957063311.055532</v>
      </c>
      <c r="O201" s="740">
        <f aca="true" t="shared" si="70" ref="O201:O231">SUMPRODUCT($K$3:$K$33,$J$3:$J$33,C201:C231)</f>
        <v>37763016877.177574</v>
      </c>
      <c r="P201" s="734">
        <f aca="true" t="shared" si="71" ref="P201:P231">SUMPRODUCT(C201:C231,J$3:J$33)</f>
        <v>3247700.7862260807</v>
      </c>
      <c r="R201" s="712">
        <f aca="true" t="shared" si="72" ref="R201:R231">O201/Y3</f>
        <v>0.09252370080285692</v>
      </c>
      <c r="S201" s="712">
        <f>P201/V3</f>
        <v>0.0822750080780688</v>
      </c>
    </row>
    <row r="202" spans="1:19" ht="12.75">
      <c r="A202">
        <f>A201-1</f>
        <v>2029</v>
      </c>
      <c r="B202" s="712">
        <f>B203+($B$201-$B$211)/($A$201-$A$211)</f>
        <v>0.1</v>
      </c>
      <c r="C202" s="734">
        <f>B202*Input!C10</f>
        <v>275026.14440367086</v>
      </c>
      <c r="D202">
        <f>Input!$H$4</f>
        <v>100</v>
      </c>
      <c r="E202">
        <f aca="true" t="shared" si="73" ref="E202:E261">1/D202</f>
        <v>0.01</v>
      </c>
      <c r="M202" s="740">
        <f aca="true" t="shared" si="74" ref="M202:M231">SUMPRODUCT($K$3:$K$33,E202:E232,C202:C232)</f>
        <v>429844357.64902794</v>
      </c>
      <c r="N202" s="740">
        <f aca="true" t="shared" si="75" ref="N202:N231">8.75*M202</f>
        <v>3761138129.4289947</v>
      </c>
      <c r="O202" s="740">
        <f t="shared" si="70"/>
        <v>36315827410.15334</v>
      </c>
      <c r="P202" s="734">
        <f t="shared" si="71"/>
        <v>3092035.0578275225</v>
      </c>
      <c r="R202" s="712">
        <f t="shared" si="72"/>
        <v>0.09033932543814421</v>
      </c>
      <c r="S202" s="712">
        <f aca="true" t="shared" si="76" ref="S202:S231">P202/V4</f>
        <v>0.07954783906423611</v>
      </c>
    </row>
    <row r="203" spans="1:19" ht="12.75">
      <c r="A203">
        <f aca="true" t="shared" si="77" ref="A203:A230">A202-1</f>
        <v>2028</v>
      </c>
      <c r="B203" s="712">
        <f aca="true" t="shared" si="78" ref="B203:B210">B204+($B$201-$B$211)/($A$201-$A$211)</f>
        <v>0.1</v>
      </c>
      <c r="C203" s="734">
        <f>B203*Input!C11</f>
        <v>271459.3630018979</v>
      </c>
      <c r="D203">
        <f>Input!$H$4</f>
        <v>100</v>
      </c>
      <c r="E203">
        <f t="shared" si="73"/>
        <v>0.01</v>
      </c>
      <c r="M203" s="740">
        <f t="shared" si="74"/>
        <v>406108566.4591569</v>
      </c>
      <c r="N203" s="740">
        <f t="shared" si="75"/>
        <v>3553449956.5176225</v>
      </c>
      <c r="O203" s="740">
        <f t="shared" si="70"/>
        <v>34721379791.27778</v>
      </c>
      <c r="P203" s="734">
        <f t="shared" si="71"/>
        <v>2927630.660951904</v>
      </c>
      <c r="R203" s="712">
        <f t="shared" si="72"/>
        <v>0.08770565539960598</v>
      </c>
      <c r="S203" s="712">
        <f t="shared" si="76"/>
        <v>0.07649077717116584</v>
      </c>
    </row>
    <row r="204" spans="1:19" ht="12.75">
      <c r="A204">
        <f t="shared" si="77"/>
        <v>2027</v>
      </c>
      <c r="B204" s="712">
        <f t="shared" si="78"/>
        <v>0.1</v>
      </c>
      <c r="C204" s="734">
        <f>B204*Input!C12</f>
        <v>267892.5816001235</v>
      </c>
      <c r="D204">
        <f>Input!$H$4</f>
        <v>100</v>
      </c>
      <c r="E204">
        <f t="shared" si="73"/>
        <v>0.01</v>
      </c>
      <c r="M204" s="740">
        <f t="shared" si="74"/>
        <v>381100016.3183967</v>
      </c>
      <c r="N204" s="740">
        <f t="shared" si="75"/>
        <v>3334625142.785971</v>
      </c>
      <c r="O204" s="740">
        <f t="shared" si="70"/>
        <v>32975106506.088684</v>
      </c>
      <c r="P204" s="734">
        <f t="shared" si="71"/>
        <v>2754642.495624956</v>
      </c>
      <c r="R204" s="712">
        <f t="shared" si="72"/>
        <v>0.08458745195203396</v>
      </c>
      <c r="S204" s="712">
        <f t="shared" si="76"/>
        <v>0.0730926364653042</v>
      </c>
    </row>
    <row r="205" spans="1:19" ht="12.75">
      <c r="A205">
        <f t="shared" si="77"/>
        <v>2026</v>
      </c>
      <c r="B205" s="712">
        <f t="shared" si="78"/>
        <v>0.1</v>
      </c>
      <c r="C205" s="734">
        <f>B205*Input!C13</f>
        <v>264325.8001983505</v>
      </c>
      <c r="D205">
        <f>Input!$H$4</f>
        <v>100</v>
      </c>
      <c r="E205">
        <f t="shared" si="73"/>
        <v>0.01</v>
      </c>
      <c r="M205" s="740">
        <f t="shared" si="74"/>
        <v>354920737.4542887</v>
      </c>
      <c r="N205" s="740">
        <f t="shared" si="75"/>
        <v>3105556452.725026</v>
      </c>
      <c r="O205" s="740">
        <f t="shared" si="70"/>
        <v>31075933689.116634</v>
      </c>
      <c r="P205" s="734">
        <f t="shared" si="71"/>
        <v>2573396.119812847</v>
      </c>
      <c r="R205" s="712">
        <f t="shared" si="72"/>
        <v>0.08095691907195822</v>
      </c>
      <c r="S205" s="712">
        <f t="shared" si="76"/>
        <v>0.06934694781137274</v>
      </c>
    </row>
    <row r="206" spans="1:19" ht="12.75">
      <c r="A206">
        <f t="shared" si="77"/>
        <v>2025</v>
      </c>
      <c r="B206" s="712">
        <f t="shared" si="78"/>
        <v>0.1</v>
      </c>
      <c r="C206" s="734">
        <f>B206*Input!C14</f>
        <v>260759.01879657747</v>
      </c>
      <c r="D206">
        <f>Input!$H$4</f>
        <v>100</v>
      </c>
      <c r="E206">
        <f t="shared" si="73"/>
        <v>0.01</v>
      </c>
      <c r="M206" s="740">
        <f t="shared" si="74"/>
        <v>327699524.17222923</v>
      </c>
      <c r="N206" s="740">
        <f t="shared" si="75"/>
        <v>2867370836.5070057</v>
      </c>
      <c r="O206" s="740">
        <f t="shared" si="70"/>
        <v>29026626025.536064</v>
      </c>
      <c r="P206" s="734">
        <f t="shared" si="71"/>
        <v>2384416.078598819</v>
      </c>
      <c r="R206" s="712">
        <f t="shared" si="72"/>
        <v>0.07679745159425445</v>
      </c>
      <c r="S206" s="712">
        <f t="shared" si="76"/>
        <v>0.06525498766607803</v>
      </c>
    </row>
    <row r="207" spans="1:19" ht="12.75">
      <c r="A207">
        <f t="shared" si="77"/>
        <v>2024</v>
      </c>
      <c r="B207" s="712">
        <f t="shared" si="78"/>
        <v>0.1</v>
      </c>
      <c r="C207" s="734">
        <f>B207*Input!C15</f>
        <v>257192.2373948046</v>
      </c>
      <c r="D207">
        <f>Input!$H$4</f>
        <v>100</v>
      </c>
      <c r="E207">
        <f t="shared" si="73"/>
        <v>0.01</v>
      </c>
      <c r="M207" s="740">
        <f t="shared" si="74"/>
        <v>299586413.6502061</v>
      </c>
      <c r="N207" s="740">
        <f t="shared" si="75"/>
        <v>2621381119.4393034</v>
      </c>
      <c r="O207" s="740">
        <f t="shared" si="70"/>
        <v>26833928215.283688</v>
      </c>
      <c r="P207" s="734">
        <f t="shared" si="71"/>
        <v>2188425.383730245</v>
      </c>
      <c r="R207" s="712">
        <f t="shared" si="72"/>
        <v>0.07210278163483458</v>
      </c>
      <c r="S207" s="712">
        <f t="shared" si="76"/>
        <v>0.06082008236704906</v>
      </c>
    </row>
    <row r="208" spans="1:19" ht="12.75">
      <c r="A208">
        <f t="shared" si="77"/>
        <v>2023</v>
      </c>
      <c r="B208" s="712">
        <f t="shared" si="78"/>
        <v>0.1</v>
      </c>
      <c r="C208" s="734">
        <f>B208*Input!C16</f>
        <v>253625.45599303153</v>
      </c>
      <c r="D208">
        <f>Input!$H$4</f>
        <v>100</v>
      </c>
      <c r="E208">
        <f t="shared" si="73"/>
        <v>0.01</v>
      </c>
      <c r="M208" s="740">
        <f t="shared" si="74"/>
        <v>270745410.90862113</v>
      </c>
      <c r="N208" s="740">
        <f t="shared" si="75"/>
        <v>2369022345.4504347</v>
      </c>
      <c r="O208" s="740">
        <f t="shared" si="70"/>
        <v>24508659003.625126</v>
      </c>
      <c r="P208" s="734">
        <f t="shared" si="71"/>
        <v>1986362.0215767191</v>
      </c>
      <c r="R208" s="712">
        <f t="shared" si="72"/>
        <v>0.06688046092780897</v>
      </c>
      <c r="S208" s="712">
        <f t="shared" si="76"/>
        <v>0.05605703722486389</v>
      </c>
    </row>
    <row r="209" spans="1:19" ht="12.75">
      <c r="A209">
        <f t="shared" si="77"/>
        <v>2022</v>
      </c>
      <c r="B209" s="712">
        <f t="shared" si="78"/>
        <v>0.1</v>
      </c>
      <c r="C209" s="734">
        <f>B209*Input!C17</f>
        <v>250058.67459125863</v>
      </c>
      <c r="D209">
        <f>Input!$H$4</f>
        <v>100</v>
      </c>
      <c r="E209">
        <f t="shared" si="73"/>
        <v>0.01</v>
      </c>
      <c r="M209" s="740">
        <f t="shared" si="74"/>
        <v>241345988.68567932</v>
      </c>
      <c r="N209" s="740">
        <f t="shared" si="75"/>
        <v>2111777400.999694</v>
      </c>
      <c r="O209" s="740">
        <f t="shared" si="70"/>
        <v>22065089029.162357</v>
      </c>
      <c r="P209" s="734">
        <f t="shared" si="71"/>
        <v>1779255.8571675462</v>
      </c>
      <c r="R209" s="712">
        <f t="shared" si="72"/>
        <v>0.061148843189373386</v>
      </c>
      <c r="S209" s="712">
        <f t="shared" si="76"/>
        <v>0.05098746417048058</v>
      </c>
    </row>
    <row r="210" spans="1:19" ht="12.75">
      <c r="A210">
        <f t="shared" si="77"/>
        <v>2021</v>
      </c>
      <c r="B210" s="712">
        <f t="shared" si="78"/>
        <v>0.1</v>
      </c>
      <c r="C210" s="734">
        <f>B210*Input!C18</f>
        <v>246491.89318948565</v>
      </c>
      <c r="D210">
        <f>Input!$H$4</f>
        <v>100</v>
      </c>
      <c r="E210">
        <f t="shared" si="73"/>
        <v>0.01</v>
      </c>
      <c r="M210" s="740">
        <f t="shared" si="74"/>
        <v>211554412.11020127</v>
      </c>
      <c r="N210" s="740">
        <f t="shared" si="75"/>
        <v>1851101105.964261</v>
      </c>
      <c r="O210" s="740">
        <f t="shared" si="70"/>
        <v>19518712259.77259</v>
      </c>
      <c r="P210" s="734">
        <f t="shared" si="71"/>
        <v>1568046.1370409764</v>
      </c>
      <c r="R210" s="712">
        <f t="shared" si="72"/>
        <v>0.054933295809683404</v>
      </c>
      <c r="S210" s="712">
        <f t="shared" si="76"/>
        <v>0.04562916954783542</v>
      </c>
    </row>
    <row r="211" spans="1:19" ht="12.75">
      <c r="A211">
        <f t="shared" si="77"/>
        <v>2020</v>
      </c>
      <c r="B211" s="712">
        <f>Input!C46</f>
        <v>0.1</v>
      </c>
      <c r="C211" s="734">
        <f>B211*Input!C19</f>
        <v>232269.82961189962</v>
      </c>
      <c r="D211">
        <f>Input!$H$4</f>
        <v>100</v>
      </c>
      <c r="E211">
        <f t="shared" si="73"/>
        <v>0.01</v>
      </c>
      <c r="M211" s="740">
        <f t="shared" si="74"/>
        <v>181694640.3159349</v>
      </c>
      <c r="N211" s="740">
        <f t="shared" si="75"/>
        <v>1589828102.7644303</v>
      </c>
      <c r="O211" s="740">
        <f t="shared" si="70"/>
        <v>16899975913.806353</v>
      </c>
      <c r="P211" s="734">
        <f t="shared" si="71"/>
        <v>1353390.9211205465</v>
      </c>
      <c r="R211" s="712">
        <f t="shared" si="72"/>
        <v>0.048282173558975856</v>
      </c>
      <c r="S211" s="712">
        <f t="shared" si="76"/>
        <v>0.03999403396291501</v>
      </c>
    </row>
    <row r="212" spans="1:19" ht="12.75">
      <c r="A212">
        <f t="shared" si="77"/>
        <v>2019</v>
      </c>
      <c r="B212" s="712">
        <f aca="true" t="shared" si="79" ref="B212:B221">B213+($B$211-$B$223)/($A$211-$A$223)</f>
        <v>0.09166666666666666</v>
      </c>
      <c r="C212" s="734">
        <f>B212*Input!C20</f>
        <v>211222.7499189734</v>
      </c>
      <c r="D212">
        <f>Input!$H$4</f>
        <v>100</v>
      </c>
      <c r="E212">
        <f t="shared" si="73"/>
        <v>0.01</v>
      </c>
      <c r="M212" s="740">
        <f t="shared" si="74"/>
        <v>153242083.77735448</v>
      </c>
      <c r="N212" s="740">
        <f t="shared" si="75"/>
        <v>1340868233.0518517</v>
      </c>
      <c r="O212" s="740">
        <f t="shared" si="70"/>
        <v>14359409017.663778</v>
      </c>
      <c r="P212" s="734">
        <f t="shared" si="71"/>
        <v>1146811.9027952712</v>
      </c>
      <c r="R212" s="712">
        <f t="shared" si="72"/>
        <v>0.04149731996951545</v>
      </c>
      <c r="S212" s="712">
        <f t="shared" si="76"/>
        <v>0.034305069724744335</v>
      </c>
    </row>
    <row r="213" spans="1:19" ht="12.75">
      <c r="A213">
        <f t="shared" si="77"/>
        <v>2018</v>
      </c>
      <c r="B213" s="712">
        <f t="shared" si="79"/>
        <v>0.08333333333333333</v>
      </c>
      <c r="C213" s="734">
        <f>B213*Input!C21</f>
        <v>190010.50095934066</v>
      </c>
      <c r="D213">
        <f>Input!$H$4</f>
        <v>100</v>
      </c>
      <c r="E213">
        <f t="shared" si="73"/>
        <v>0.01</v>
      </c>
      <c r="M213" s="740">
        <f t="shared" si="74"/>
        <v>127108168.85527903</v>
      </c>
      <c r="N213" s="740">
        <f t="shared" si="75"/>
        <v>1112196477.4836915</v>
      </c>
      <c r="O213" s="740">
        <f t="shared" si="70"/>
        <v>11993868763.673124</v>
      </c>
      <c r="P213" s="734">
        <f t="shared" si="71"/>
        <v>956021.511139934</v>
      </c>
      <c r="R213" s="712">
        <f t="shared" si="72"/>
        <v>0.03507951115957981</v>
      </c>
      <c r="S213" s="712">
        <f t="shared" si="76"/>
        <v>0.028960830921561664</v>
      </c>
    </row>
    <row r="214" spans="1:19" ht="12.75">
      <c r="A214">
        <f t="shared" si="77"/>
        <v>2017</v>
      </c>
      <c r="B214" s="712">
        <f t="shared" si="79"/>
        <v>0.075</v>
      </c>
      <c r="C214" s="734">
        <f>B214*Input!C22</f>
        <v>169219.22749222166</v>
      </c>
      <c r="D214">
        <f>Input!$H$4</f>
        <v>100</v>
      </c>
      <c r="E214">
        <f t="shared" si="73"/>
        <v>0.01</v>
      </c>
      <c r="M214" s="740">
        <f t="shared" si="74"/>
        <v>103408149.42103486</v>
      </c>
      <c r="N214" s="740">
        <f t="shared" si="75"/>
        <v>904821307.434055</v>
      </c>
      <c r="O214" s="740">
        <f t="shared" si="70"/>
        <v>9821465680.886477</v>
      </c>
      <c r="P214" s="734">
        <f t="shared" si="71"/>
        <v>782008.2827005807</v>
      </c>
      <c r="R214" s="712">
        <f t="shared" si="72"/>
        <v>0.029084229441110145</v>
      </c>
      <c r="S214" s="712">
        <f t="shared" si="76"/>
        <v>0.023996996926609872</v>
      </c>
    </row>
    <row r="215" spans="1:19" ht="12.75">
      <c r="A215">
        <f t="shared" si="77"/>
        <v>2016</v>
      </c>
      <c r="B215" s="712">
        <f t="shared" si="79"/>
        <v>0.06666666666666667</v>
      </c>
      <c r="C215" s="734">
        <f>B215*Input!C23</f>
        <v>148842.4401678843</v>
      </c>
      <c r="D215">
        <f>Input!$H$4</f>
        <v>100</v>
      </c>
      <c r="E215">
        <f t="shared" si="73"/>
        <v>0.01</v>
      </c>
      <c r="M215" s="740">
        <f t="shared" si="74"/>
        <v>82170135.88923143</v>
      </c>
      <c r="N215" s="740">
        <f t="shared" si="75"/>
        <v>718988689.030775</v>
      </c>
      <c r="O215" s="740">
        <f t="shared" si="70"/>
        <v>7852125802.136593</v>
      </c>
      <c r="P215" s="734">
        <f t="shared" si="71"/>
        <v>625117.0091406081</v>
      </c>
      <c r="R215" s="712">
        <f t="shared" si="72"/>
        <v>0.023554941142518087</v>
      </c>
      <c r="S215" s="712">
        <f t="shared" si="76"/>
        <v>0.01943868905322985</v>
      </c>
    </row>
    <row r="216" spans="1:19" ht="12.75">
      <c r="A216">
        <f t="shared" si="77"/>
        <v>2015</v>
      </c>
      <c r="B216" s="712">
        <f t="shared" si="79"/>
        <v>0.05833333333333333</v>
      </c>
      <c r="C216" s="734">
        <f>B216*Input!C24</f>
        <v>128873.73936988765</v>
      </c>
      <c r="D216">
        <f>Input!$H$4</f>
        <v>100</v>
      </c>
      <c r="E216">
        <f t="shared" si="73"/>
        <v>0.01</v>
      </c>
      <c r="M216" s="740">
        <f t="shared" si="74"/>
        <v>63405626.15983089</v>
      </c>
      <c r="N216" s="740">
        <f t="shared" si="75"/>
        <v>554799228.8985204</v>
      </c>
      <c r="O216" s="740">
        <f t="shared" si="70"/>
        <v>6093769585.643131</v>
      </c>
      <c r="P216" s="734">
        <f t="shared" si="71"/>
        <v>485595.7411007906</v>
      </c>
      <c r="R216" s="712">
        <f t="shared" si="72"/>
        <v>0.01852956182804944</v>
      </c>
      <c r="S216" s="712">
        <f t="shared" si="76"/>
        <v>0.015307648404172572</v>
      </c>
    </row>
    <row r="217" spans="1:19" ht="12.75">
      <c r="A217">
        <f t="shared" si="77"/>
        <v>2014</v>
      </c>
      <c r="B217" s="712">
        <f t="shared" si="79"/>
        <v>0.049999999999999996</v>
      </c>
      <c r="C217" s="734">
        <f>B217*Input!C25</f>
        <v>109306.8140474979</v>
      </c>
      <c r="D217">
        <f>Input!$H$4</f>
        <v>100</v>
      </c>
      <c r="E217">
        <f t="shared" si="73"/>
        <v>0.01</v>
      </c>
      <c r="M217" s="740">
        <f t="shared" si="74"/>
        <v>47112260.535614654</v>
      </c>
      <c r="N217" s="740">
        <f t="shared" si="75"/>
        <v>412232279.6866282</v>
      </c>
      <c r="O217" s="740">
        <f t="shared" si="70"/>
        <v>4552671229.093918</v>
      </c>
      <c r="P217" s="734">
        <f t="shared" si="71"/>
        <v>363627.5908480439</v>
      </c>
      <c r="R217" s="712">
        <f t="shared" si="72"/>
        <v>0.014041047735764802</v>
      </c>
      <c r="S217" s="712">
        <f t="shared" si="76"/>
        <v>0.011623723514665526</v>
      </c>
    </row>
    <row r="218" spans="1:19" ht="12.75">
      <c r="A218">
        <f t="shared" si="77"/>
        <v>2013</v>
      </c>
      <c r="B218" s="712">
        <f t="shared" si="79"/>
        <v>0.041666666666666664</v>
      </c>
      <c r="C218" s="734">
        <f>B218*Input!C26</f>
        <v>90135.44056271588</v>
      </c>
      <c r="D218">
        <f>Input!$H$4</f>
        <v>100</v>
      </c>
      <c r="E218">
        <f t="shared" si="73"/>
        <v>0.01</v>
      </c>
      <c r="M218" s="740">
        <f t="shared" si="74"/>
        <v>33276549.929421574</v>
      </c>
      <c r="N218" s="740">
        <f t="shared" si="75"/>
        <v>291169811.8824388</v>
      </c>
      <c r="O218" s="740">
        <f t="shared" si="70"/>
        <v>3232948463.872874</v>
      </c>
      <c r="P218" s="734">
        <f t="shared" si="71"/>
        <v>259285.12135892143</v>
      </c>
      <c r="R218" s="712">
        <f t="shared" si="72"/>
        <v>0.010119463000797304</v>
      </c>
      <c r="S218" s="712">
        <f t="shared" si="76"/>
        <v>0.008406742545304787</v>
      </c>
    </row>
    <row r="219" spans="1:19" ht="12.75">
      <c r="A219">
        <f t="shared" si="77"/>
        <v>2012</v>
      </c>
      <c r="B219" s="712">
        <f t="shared" si="79"/>
        <v>0.03333333333333333</v>
      </c>
      <c r="C219" s="734">
        <f>B219*Input!C27</f>
        <v>71353.48155173885</v>
      </c>
      <c r="D219">
        <f>Input!$H$4</f>
        <v>100</v>
      </c>
      <c r="E219">
        <f t="shared" si="73"/>
        <v>0.01</v>
      </c>
      <c r="M219" s="740">
        <f t="shared" si="74"/>
        <v>21876338.575543296</v>
      </c>
      <c r="N219" s="740">
        <f t="shared" si="75"/>
        <v>191417962.53600383</v>
      </c>
      <c r="O219" s="740">
        <f t="shared" si="70"/>
        <v>2137065952.7711802</v>
      </c>
      <c r="P219" s="734">
        <f t="shared" si="71"/>
        <v>172564.49607895536</v>
      </c>
      <c r="R219" s="712">
        <f t="shared" si="72"/>
        <v>0.006793256135322818</v>
      </c>
      <c r="S219" s="712">
        <f t="shared" si="76"/>
        <v>0.005676264975394723</v>
      </c>
    </row>
    <row r="220" spans="1:19" ht="12.75">
      <c r="A220">
        <f t="shared" si="77"/>
        <v>2011</v>
      </c>
      <c r="B220" s="712">
        <f t="shared" si="79"/>
        <v>0.025</v>
      </c>
      <c r="C220" s="734">
        <f>B220*Input!C28</f>
        <v>52954.88480068037</v>
      </c>
      <c r="D220">
        <f>Input!$H$4</f>
        <v>100</v>
      </c>
      <c r="E220">
        <f t="shared" si="73"/>
        <v>0.01</v>
      </c>
      <c r="M220" s="740">
        <f t="shared" si="74"/>
        <v>12882897.795899682</v>
      </c>
      <c r="N220" s="740">
        <f t="shared" si="75"/>
        <v>112725355.71412222</v>
      </c>
      <c r="O220" s="740">
        <f t="shared" si="70"/>
        <v>1266009173.7179856</v>
      </c>
      <c r="P220" s="734">
        <f t="shared" si="71"/>
        <v>103391.07696456357</v>
      </c>
      <c r="R220" s="712">
        <f t="shared" si="72"/>
        <v>0.004089023120915516</v>
      </c>
      <c r="S220" s="712">
        <f t="shared" si="76"/>
        <v>0.0034506641844249688</v>
      </c>
    </row>
    <row r="221" spans="1:19" ht="12.75">
      <c r="A221">
        <f t="shared" si="77"/>
        <v>2010</v>
      </c>
      <c r="B221" s="712">
        <f t="shared" si="79"/>
        <v>0.016666666666666666</v>
      </c>
      <c r="C221" s="734">
        <f>B221*Input!C29</f>
        <v>34933.68213537424</v>
      </c>
      <c r="D221">
        <f>Input!$H$4</f>
        <v>100</v>
      </c>
      <c r="E221">
        <f t="shared" si="73"/>
        <v>0.01</v>
      </c>
      <c r="M221" s="740">
        <f t="shared" si="74"/>
        <v>6262634.466938686</v>
      </c>
      <c r="N221" s="740">
        <f t="shared" si="75"/>
        <v>54798051.5857135</v>
      </c>
      <c r="O221" s="740">
        <f t="shared" si="70"/>
        <v>619999168.4442444</v>
      </c>
      <c r="P221" s="734">
        <f t="shared" si="71"/>
        <v>51666.97960385537</v>
      </c>
      <c r="R221" s="712">
        <f t="shared" si="72"/>
        <v>0.002035571299853722</v>
      </c>
      <c r="S221" s="712">
        <f t="shared" si="76"/>
        <v>0.0017497098953937694</v>
      </c>
    </row>
    <row r="222" spans="1:19" ht="12.75">
      <c r="A222">
        <f t="shared" si="77"/>
        <v>2009</v>
      </c>
      <c r="B222" s="712">
        <f>B223+($B$211-$B$223)/($A$211-$A$223)</f>
        <v>0.008333333333333333</v>
      </c>
      <c r="C222" s="734">
        <f>B222*Input!C30</f>
        <v>17213.555671722177</v>
      </c>
      <c r="D222">
        <f>Input!$H$4</f>
        <v>100</v>
      </c>
      <c r="E222">
        <f t="shared" si="73"/>
        <v>0.01</v>
      </c>
      <c r="M222" s="740">
        <f t="shared" si="74"/>
        <v>1979558.9022480503</v>
      </c>
      <c r="N222" s="740">
        <f t="shared" si="75"/>
        <v>17321140.39467044</v>
      </c>
      <c r="O222" s="740">
        <f t="shared" si="70"/>
        <v>197955890.22480503</v>
      </c>
      <c r="P222" s="734">
        <f t="shared" si="71"/>
        <v>17213.555671722177</v>
      </c>
      <c r="R222" s="712">
        <f t="shared" si="72"/>
        <v>0.0006608625199080099</v>
      </c>
      <c r="S222" s="712">
        <f t="shared" si="76"/>
        <v>0.0005915068270390167</v>
      </c>
    </row>
    <row r="223" spans="1:19" ht="12.75">
      <c r="A223">
        <f t="shared" si="77"/>
        <v>2008</v>
      </c>
      <c r="B223" s="712">
        <f>Input!B46</f>
        <v>0</v>
      </c>
      <c r="C223" s="734">
        <f>B223*Input!C31</f>
        <v>0</v>
      </c>
      <c r="D223">
        <f>Input!$H$4</f>
        <v>100</v>
      </c>
      <c r="E223">
        <f t="shared" si="73"/>
        <v>0.01</v>
      </c>
      <c r="M223" s="740">
        <f t="shared" si="74"/>
        <v>0</v>
      </c>
      <c r="N223" s="740">
        <f t="shared" si="75"/>
        <v>0</v>
      </c>
      <c r="O223" s="740">
        <f t="shared" si="70"/>
        <v>0</v>
      </c>
      <c r="P223" s="734">
        <f t="shared" si="71"/>
        <v>0</v>
      </c>
      <c r="R223" s="712">
        <f t="shared" si="72"/>
        <v>0</v>
      </c>
      <c r="S223" s="712">
        <f t="shared" si="76"/>
        <v>0</v>
      </c>
    </row>
    <row r="224" spans="1:19" ht="12.75">
      <c r="A224">
        <f t="shared" si="77"/>
        <v>2007</v>
      </c>
      <c r="B224" s="712">
        <v>0</v>
      </c>
      <c r="C224" s="734">
        <f>B224*Input!C32</f>
        <v>0</v>
      </c>
      <c r="D224">
        <f>Input!$H$4</f>
        <v>100</v>
      </c>
      <c r="E224">
        <f t="shared" si="73"/>
        <v>0.01</v>
      </c>
      <c r="M224" s="740">
        <f t="shared" si="74"/>
        <v>0</v>
      </c>
      <c r="N224" s="740">
        <f t="shared" si="75"/>
        <v>0</v>
      </c>
      <c r="O224" s="740">
        <f t="shared" si="70"/>
        <v>0</v>
      </c>
      <c r="P224" s="734">
        <f t="shared" si="71"/>
        <v>0</v>
      </c>
      <c r="R224" s="712">
        <f t="shared" si="72"/>
        <v>0</v>
      </c>
      <c r="S224" s="712">
        <f t="shared" si="76"/>
        <v>0</v>
      </c>
    </row>
    <row r="225" spans="1:19" ht="12.75">
      <c r="A225">
        <f t="shared" si="77"/>
        <v>2006</v>
      </c>
      <c r="B225" s="712">
        <v>0</v>
      </c>
      <c r="C225" s="734">
        <f>B225*Input!C33</f>
        <v>0</v>
      </c>
      <c r="D225">
        <f>Input!$H$4</f>
        <v>100</v>
      </c>
      <c r="E225">
        <f t="shared" si="73"/>
        <v>0.01</v>
      </c>
      <c r="M225" s="740">
        <f t="shared" si="74"/>
        <v>0</v>
      </c>
      <c r="N225" s="740">
        <f t="shared" si="75"/>
        <v>0</v>
      </c>
      <c r="O225" s="740">
        <f t="shared" si="70"/>
        <v>0</v>
      </c>
      <c r="P225" s="734">
        <f t="shared" si="71"/>
        <v>0</v>
      </c>
      <c r="R225" s="712">
        <f t="shared" si="72"/>
        <v>0</v>
      </c>
      <c r="S225" s="712">
        <f t="shared" si="76"/>
        <v>0</v>
      </c>
    </row>
    <row r="226" spans="1:19" ht="12.75">
      <c r="A226">
        <f t="shared" si="77"/>
        <v>2005</v>
      </c>
      <c r="B226" s="712">
        <v>0</v>
      </c>
      <c r="C226" s="734">
        <f>B226*Input!C34</f>
        <v>0</v>
      </c>
      <c r="D226">
        <f>Input!$H$4</f>
        <v>100</v>
      </c>
      <c r="E226">
        <f t="shared" si="73"/>
        <v>0.01</v>
      </c>
      <c r="M226" s="740">
        <f t="shared" si="74"/>
        <v>0</v>
      </c>
      <c r="N226" s="740">
        <f t="shared" si="75"/>
        <v>0</v>
      </c>
      <c r="O226" s="740">
        <f t="shared" si="70"/>
        <v>0</v>
      </c>
      <c r="P226" s="734">
        <f t="shared" si="71"/>
        <v>0</v>
      </c>
      <c r="R226" s="712">
        <f t="shared" si="72"/>
        <v>0</v>
      </c>
      <c r="S226" s="712">
        <f t="shared" si="76"/>
        <v>0</v>
      </c>
    </row>
    <row r="227" spans="1:19" ht="12.75">
      <c r="A227">
        <f t="shared" si="77"/>
        <v>2004</v>
      </c>
      <c r="B227" s="712">
        <v>0</v>
      </c>
      <c r="C227" s="734">
        <f>B227*Input!C35</f>
        <v>0</v>
      </c>
      <c r="D227">
        <f>Input!$H$4</f>
        <v>100</v>
      </c>
      <c r="E227">
        <f t="shared" si="73"/>
        <v>0.01</v>
      </c>
      <c r="M227" s="740">
        <f t="shared" si="74"/>
        <v>0</v>
      </c>
      <c r="N227" s="740">
        <f t="shared" si="75"/>
        <v>0</v>
      </c>
      <c r="O227" s="740">
        <f t="shared" si="70"/>
        <v>0</v>
      </c>
      <c r="P227" s="734">
        <f t="shared" si="71"/>
        <v>0</v>
      </c>
      <c r="R227" s="712">
        <f t="shared" si="72"/>
        <v>0</v>
      </c>
      <c r="S227" s="712">
        <f t="shared" si="76"/>
        <v>0</v>
      </c>
    </row>
    <row r="228" spans="1:19" ht="12.75">
      <c r="A228">
        <f t="shared" si="77"/>
        <v>2003</v>
      </c>
      <c r="B228" s="712">
        <v>0</v>
      </c>
      <c r="C228" s="734">
        <f>B228*Input!C36</f>
        <v>0</v>
      </c>
      <c r="D228">
        <f>Input!$H$4</f>
        <v>100</v>
      </c>
      <c r="E228">
        <f t="shared" si="73"/>
        <v>0.01</v>
      </c>
      <c r="M228" s="740">
        <f t="shared" si="74"/>
        <v>0</v>
      </c>
      <c r="N228" s="740">
        <f t="shared" si="75"/>
        <v>0</v>
      </c>
      <c r="O228" s="740">
        <f t="shared" si="70"/>
        <v>0</v>
      </c>
      <c r="P228" s="734">
        <f t="shared" si="71"/>
        <v>0</v>
      </c>
      <c r="R228" s="712">
        <f t="shared" si="72"/>
        <v>0</v>
      </c>
      <c r="S228" s="712">
        <f t="shared" si="76"/>
        <v>0</v>
      </c>
    </row>
    <row r="229" spans="1:19" ht="12.75">
      <c r="A229">
        <f t="shared" si="77"/>
        <v>2002</v>
      </c>
      <c r="B229" s="712">
        <v>0</v>
      </c>
      <c r="C229" s="734">
        <f>B229*Input!C37</f>
        <v>0</v>
      </c>
      <c r="D229">
        <f>Input!$H$4</f>
        <v>100</v>
      </c>
      <c r="E229">
        <f t="shared" si="73"/>
        <v>0.01</v>
      </c>
      <c r="M229" s="740">
        <f t="shared" si="74"/>
        <v>0</v>
      </c>
      <c r="N229" s="740">
        <f t="shared" si="75"/>
        <v>0</v>
      </c>
      <c r="O229" s="740">
        <f t="shared" si="70"/>
        <v>0</v>
      </c>
      <c r="P229" s="734">
        <f t="shared" si="71"/>
        <v>0</v>
      </c>
      <c r="R229" s="712">
        <f t="shared" si="72"/>
        <v>0</v>
      </c>
      <c r="S229" s="712">
        <f t="shared" si="76"/>
        <v>0</v>
      </c>
    </row>
    <row r="230" spans="1:19" ht="12.75">
      <c r="A230">
        <f t="shared" si="77"/>
        <v>2001</v>
      </c>
      <c r="B230" s="712">
        <v>0</v>
      </c>
      <c r="C230" s="734">
        <f>B230*Input!C38</f>
        <v>0</v>
      </c>
      <c r="D230">
        <f>Input!$H$4</f>
        <v>100</v>
      </c>
      <c r="E230">
        <f t="shared" si="73"/>
        <v>0.01</v>
      </c>
      <c r="M230" s="740">
        <f t="shared" si="74"/>
        <v>0</v>
      </c>
      <c r="N230" s="740">
        <f t="shared" si="75"/>
        <v>0</v>
      </c>
      <c r="O230" s="740">
        <f t="shared" si="70"/>
        <v>0</v>
      </c>
      <c r="P230" s="734">
        <f t="shared" si="71"/>
        <v>0</v>
      </c>
      <c r="R230" s="712">
        <f t="shared" si="72"/>
        <v>0</v>
      </c>
      <c r="S230" s="712">
        <f t="shared" si="76"/>
        <v>0</v>
      </c>
    </row>
    <row r="231" spans="1:19" ht="12.75">
      <c r="A231">
        <f>A230-1</f>
        <v>2000</v>
      </c>
      <c r="B231" s="712">
        <f>Input!B46</f>
        <v>0</v>
      </c>
      <c r="C231" s="734">
        <f>B231*Input!C39</f>
        <v>0</v>
      </c>
      <c r="D231">
        <f>Input!$H$4</f>
        <v>100</v>
      </c>
      <c r="E231">
        <f t="shared" si="73"/>
        <v>0.01</v>
      </c>
      <c r="M231" s="740">
        <f t="shared" si="74"/>
        <v>0</v>
      </c>
      <c r="N231" s="740">
        <f t="shared" si="75"/>
        <v>0</v>
      </c>
      <c r="O231" s="740">
        <f t="shared" si="70"/>
        <v>0</v>
      </c>
      <c r="P231" s="734">
        <f t="shared" si="71"/>
        <v>0</v>
      </c>
      <c r="R231" s="712">
        <f t="shared" si="72"/>
        <v>0</v>
      </c>
      <c r="S231" s="712">
        <f t="shared" si="76"/>
        <v>0</v>
      </c>
    </row>
    <row r="232" spans="1:5" ht="12.75">
      <c r="A232">
        <f aca="true" t="shared" si="80" ref="A232:A261">A231-1</f>
        <v>1999</v>
      </c>
      <c r="B232" s="712">
        <v>0</v>
      </c>
      <c r="C232" s="734">
        <f aca="true" t="shared" si="81" ref="C232:C261">U34*B232</f>
        <v>0</v>
      </c>
      <c r="D232">
        <f>Input!$H$4</f>
        <v>100</v>
      </c>
      <c r="E232">
        <f t="shared" si="73"/>
        <v>0.01</v>
      </c>
    </row>
    <row r="233" spans="1:5" ht="12.75">
      <c r="A233">
        <f t="shared" si="80"/>
        <v>1998</v>
      </c>
      <c r="B233" s="712">
        <f>B232</f>
        <v>0</v>
      </c>
      <c r="C233" s="734">
        <f t="shared" si="81"/>
        <v>0</v>
      </c>
      <c r="D233">
        <f>Input!$H$4</f>
        <v>100</v>
      </c>
      <c r="E233">
        <f t="shared" si="73"/>
        <v>0.01</v>
      </c>
    </row>
    <row r="234" spans="1:5" ht="12.75">
      <c r="A234">
        <f t="shared" si="80"/>
        <v>1997</v>
      </c>
      <c r="B234" s="712">
        <f aca="true" t="shared" si="82" ref="B234:B261">B233</f>
        <v>0</v>
      </c>
      <c r="C234" s="734">
        <f t="shared" si="81"/>
        <v>0</v>
      </c>
      <c r="D234">
        <f>Input!$H$4</f>
        <v>100</v>
      </c>
      <c r="E234">
        <f t="shared" si="73"/>
        <v>0.01</v>
      </c>
    </row>
    <row r="235" spans="1:5" ht="12.75">
      <c r="A235">
        <f t="shared" si="80"/>
        <v>1996</v>
      </c>
      <c r="B235" s="712">
        <f t="shared" si="82"/>
        <v>0</v>
      </c>
      <c r="C235" s="734">
        <f t="shared" si="81"/>
        <v>0</v>
      </c>
      <c r="D235">
        <f>Input!$H$4</f>
        <v>100</v>
      </c>
      <c r="E235">
        <f t="shared" si="73"/>
        <v>0.01</v>
      </c>
    </row>
    <row r="236" spans="1:5" ht="12.75">
      <c r="A236">
        <f t="shared" si="80"/>
        <v>1995</v>
      </c>
      <c r="B236" s="712">
        <f t="shared" si="82"/>
        <v>0</v>
      </c>
      <c r="C236" s="734">
        <f t="shared" si="81"/>
        <v>0</v>
      </c>
      <c r="D236">
        <f>Input!$H$4</f>
        <v>100</v>
      </c>
      <c r="E236">
        <f t="shared" si="73"/>
        <v>0.01</v>
      </c>
    </row>
    <row r="237" spans="1:5" ht="12.75">
      <c r="A237">
        <f t="shared" si="80"/>
        <v>1994</v>
      </c>
      <c r="B237" s="712">
        <f t="shared" si="82"/>
        <v>0</v>
      </c>
      <c r="C237" s="734">
        <f t="shared" si="81"/>
        <v>0</v>
      </c>
      <c r="D237">
        <f>Input!$H$4</f>
        <v>100</v>
      </c>
      <c r="E237">
        <f t="shared" si="73"/>
        <v>0.01</v>
      </c>
    </row>
    <row r="238" spans="1:5" ht="12.75">
      <c r="A238">
        <f t="shared" si="80"/>
        <v>1993</v>
      </c>
      <c r="B238" s="712">
        <f t="shared" si="82"/>
        <v>0</v>
      </c>
      <c r="C238" s="734">
        <f t="shared" si="81"/>
        <v>0</v>
      </c>
      <c r="D238">
        <f>Input!$H$4</f>
        <v>100</v>
      </c>
      <c r="E238">
        <f t="shared" si="73"/>
        <v>0.01</v>
      </c>
    </row>
    <row r="239" spans="1:5" ht="12.75">
      <c r="A239">
        <f t="shared" si="80"/>
        <v>1992</v>
      </c>
      <c r="B239" s="712">
        <f t="shared" si="82"/>
        <v>0</v>
      </c>
      <c r="C239" s="734">
        <f t="shared" si="81"/>
        <v>0</v>
      </c>
      <c r="D239">
        <f>Input!$H$4</f>
        <v>100</v>
      </c>
      <c r="E239">
        <f t="shared" si="73"/>
        <v>0.01</v>
      </c>
    </row>
    <row r="240" spans="1:5" ht="12.75">
      <c r="A240">
        <f t="shared" si="80"/>
        <v>1991</v>
      </c>
      <c r="B240" s="712">
        <f t="shared" si="82"/>
        <v>0</v>
      </c>
      <c r="C240" s="734">
        <f t="shared" si="81"/>
        <v>0</v>
      </c>
      <c r="D240">
        <f>Input!$H$4</f>
        <v>100</v>
      </c>
      <c r="E240">
        <f t="shared" si="73"/>
        <v>0.01</v>
      </c>
    </row>
    <row r="241" spans="1:5" ht="12.75">
      <c r="A241">
        <f t="shared" si="80"/>
        <v>1990</v>
      </c>
      <c r="B241" s="712">
        <f t="shared" si="82"/>
        <v>0</v>
      </c>
      <c r="C241" s="734">
        <f t="shared" si="81"/>
        <v>0</v>
      </c>
      <c r="D241">
        <f>Input!$H$4</f>
        <v>100</v>
      </c>
      <c r="E241">
        <f t="shared" si="73"/>
        <v>0.01</v>
      </c>
    </row>
    <row r="242" spans="1:5" ht="12.75">
      <c r="A242">
        <f t="shared" si="80"/>
        <v>1989</v>
      </c>
      <c r="B242" s="712">
        <f t="shared" si="82"/>
        <v>0</v>
      </c>
      <c r="C242" s="734">
        <f t="shared" si="81"/>
        <v>0</v>
      </c>
      <c r="D242">
        <f>Input!$H$4</f>
        <v>100</v>
      </c>
      <c r="E242">
        <f t="shared" si="73"/>
        <v>0.01</v>
      </c>
    </row>
    <row r="243" spans="1:5" ht="12.75">
      <c r="A243">
        <f t="shared" si="80"/>
        <v>1988</v>
      </c>
      <c r="B243" s="712">
        <f t="shared" si="82"/>
        <v>0</v>
      </c>
      <c r="C243" s="734">
        <f t="shared" si="81"/>
        <v>0</v>
      </c>
      <c r="D243">
        <f>Input!$H$4</f>
        <v>100</v>
      </c>
      <c r="E243">
        <f t="shared" si="73"/>
        <v>0.01</v>
      </c>
    </row>
    <row r="244" spans="1:5" ht="12.75">
      <c r="A244">
        <f t="shared" si="80"/>
        <v>1987</v>
      </c>
      <c r="B244" s="712">
        <f t="shared" si="82"/>
        <v>0</v>
      </c>
      <c r="C244" s="734">
        <f t="shared" si="81"/>
        <v>0</v>
      </c>
      <c r="D244">
        <f>Input!$H$4</f>
        <v>100</v>
      </c>
      <c r="E244">
        <f t="shared" si="73"/>
        <v>0.01</v>
      </c>
    </row>
    <row r="245" spans="1:5" ht="12.75">
      <c r="A245">
        <f t="shared" si="80"/>
        <v>1986</v>
      </c>
      <c r="B245" s="712">
        <f t="shared" si="82"/>
        <v>0</v>
      </c>
      <c r="C245" s="734">
        <f t="shared" si="81"/>
        <v>0</v>
      </c>
      <c r="D245">
        <f>Input!$H$4</f>
        <v>100</v>
      </c>
      <c r="E245">
        <f t="shared" si="73"/>
        <v>0.01</v>
      </c>
    </row>
    <row r="246" spans="1:5" ht="12.75">
      <c r="A246">
        <f t="shared" si="80"/>
        <v>1985</v>
      </c>
      <c r="B246" s="712">
        <f t="shared" si="82"/>
        <v>0</v>
      </c>
      <c r="C246" s="734">
        <f t="shared" si="81"/>
        <v>0</v>
      </c>
      <c r="D246">
        <f>Input!$H$4</f>
        <v>100</v>
      </c>
      <c r="E246">
        <f t="shared" si="73"/>
        <v>0.01</v>
      </c>
    </row>
    <row r="247" spans="1:5" ht="12.75">
      <c r="A247">
        <f t="shared" si="80"/>
        <v>1984</v>
      </c>
      <c r="B247" s="712">
        <f t="shared" si="82"/>
        <v>0</v>
      </c>
      <c r="C247" s="734">
        <f t="shared" si="81"/>
        <v>0</v>
      </c>
      <c r="D247">
        <f>Input!$H$4</f>
        <v>100</v>
      </c>
      <c r="E247">
        <f t="shared" si="73"/>
        <v>0.01</v>
      </c>
    </row>
    <row r="248" spans="1:5" ht="12.75">
      <c r="A248">
        <f t="shared" si="80"/>
        <v>1983</v>
      </c>
      <c r="B248" s="712">
        <f t="shared" si="82"/>
        <v>0</v>
      </c>
      <c r="C248" s="734">
        <f t="shared" si="81"/>
        <v>0</v>
      </c>
      <c r="D248">
        <f>Input!$H$4</f>
        <v>100</v>
      </c>
      <c r="E248">
        <f t="shared" si="73"/>
        <v>0.01</v>
      </c>
    </row>
    <row r="249" spans="1:5" ht="12.75">
      <c r="A249">
        <f t="shared" si="80"/>
        <v>1982</v>
      </c>
      <c r="B249" s="712">
        <f t="shared" si="82"/>
        <v>0</v>
      </c>
      <c r="C249" s="734">
        <f t="shared" si="81"/>
        <v>0</v>
      </c>
      <c r="D249">
        <f>Input!$H$4</f>
        <v>100</v>
      </c>
      <c r="E249">
        <f t="shared" si="73"/>
        <v>0.01</v>
      </c>
    </row>
    <row r="250" spans="1:5" ht="12.75">
      <c r="A250">
        <f t="shared" si="80"/>
        <v>1981</v>
      </c>
      <c r="B250" s="712">
        <f t="shared" si="82"/>
        <v>0</v>
      </c>
      <c r="C250" s="734">
        <f t="shared" si="81"/>
        <v>0</v>
      </c>
      <c r="D250">
        <f>Input!$H$4</f>
        <v>100</v>
      </c>
      <c r="E250">
        <f t="shared" si="73"/>
        <v>0.01</v>
      </c>
    </row>
    <row r="251" spans="1:5" ht="12.75">
      <c r="A251">
        <f t="shared" si="80"/>
        <v>1980</v>
      </c>
      <c r="B251" s="712">
        <f t="shared" si="82"/>
        <v>0</v>
      </c>
      <c r="C251" s="734">
        <f t="shared" si="81"/>
        <v>0</v>
      </c>
      <c r="D251">
        <f>Input!$H$4</f>
        <v>100</v>
      </c>
      <c r="E251">
        <f t="shared" si="73"/>
        <v>0.01</v>
      </c>
    </row>
    <row r="252" spans="1:5" ht="12.75">
      <c r="A252">
        <f t="shared" si="80"/>
        <v>1979</v>
      </c>
      <c r="B252" s="712">
        <f t="shared" si="82"/>
        <v>0</v>
      </c>
      <c r="C252" s="734">
        <f t="shared" si="81"/>
        <v>0</v>
      </c>
      <c r="D252">
        <f>Input!$H$4</f>
        <v>100</v>
      </c>
      <c r="E252">
        <f t="shared" si="73"/>
        <v>0.01</v>
      </c>
    </row>
    <row r="253" spans="1:5" ht="12.75">
      <c r="A253">
        <f t="shared" si="80"/>
        <v>1978</v>
      </c>
      <c r="B253" s="712">
        <f t="shared" si="82"/>
        <v>0</v>
      </c>
      <c r="C253" s="734">
        <f t="shared" si="81"/>
        <v>0</v>
      </c>
      <c r="D253">
        <f>Input!$H$4</f>
        <v>100</v>
      </c>
      <c r="E253">
        <f t="shared" si="73"/>
        <v>0.01</v>
      </c>
    </row>
    <row r="254" spans="1:5" ht="12.75">
      <c r="A254">
        <f t="shared" si="80"/>
        <v>1977</v>
      </c>
      <c r="B254" s="712">
        <f t="shared" si="82"/>
        <v>0</v>
      </c>
      <c r="C254" s="734">
        <f t="shared" si="81"/>
        <v>0</v>
      </c>
      <c r="D254">
        <f>Input!$H$4</f>
        <v>100</v>
      </c>
      <c r="E254">
        <f t="shared" si="73"/>
        <v>0.01</v>
      </c>
    </row>
    <row r="255" spans="1:5" ht="12.75">
      <c r="A255">
        <f t="shared" si="80"/>
        <v>1976</v>
      </c>
      <c r="B255" s="712">
        <f t="shared" si="82"/>
        <v>0</v>
      </c>
      <c r="C255" s="734">
        <f t="shared" si="81"/>
        <v>0</v>
      </c>
      <c r="D255">
        <f>Input!$H$4</f>
        <v>100</v>
      </c>
      <c r="E255">
        <f t="shared" si="73"/>
        <v>0.01</v>
      </c>
    </row>
    <row r="256" spans="1:5" ht="12.75">
      <c r="A256">
        <f t="shared" si="80"/>
        <v>1975</v>
      </c>
      <c r="B256" s="712">
        <f t="shared" si="82"/>
        <v>0</v>
      </c>
      <c r="C256" s="734">
        <f t="shared" si="81"/>
        <v>0</v>
      </c>
      <c r="D256">
        <f>Input!$H$4</f>
        <v>100</v>
      </c>
      <c r="E256">
        <f t="shared" si="73"/>
        <v>0.01</v>
      </c>
    </row>
    <row r="257" spans="1:5" ht="12.75">
      <c r="A257">
        <f t="shared" si="80"/>
        <v>1974</v>
      </c>
      <c r="B257" s="712">
        <f t="shared" si="82"/>
        <v>0</v>
      </c>
      <c r="C257" s="734">
        <f t="shared" si="81"/>
        <v>0</v>
      </c>
      <c r="D257">
        <f>Input!$H$4</f>
        <v>100</v>
      </c>
      <c r="E257">
        <f t="shared" si="73"/>
        <v>0.01</v>
      </c>
    </row>
    <row r="258" spans="1:5" ht="12.75">
      <c r="A258">
        <f t="shared" si="80"/>
        <v>1973</v>
      </c>
      <c r="B258" s="712">
        <f t="shared" si="82"/>
        <v>0</v>
      </c>
      <c r="C258" s="734">
        <f t="shared" si="81"/>
        <v>0</v>
      </c>
      <c r="D258">
        <f>Input!$H$4</f>
        <v>100</v>
      </c>
      <c r="E258">
        <f t="shared" si="73"/>
        <v>0.01</v>
      </c>
    </row>
    <row r="259" spans="1:5" ht="12.75">
      <c r="A259">
        <f t="shared" si="80"/>
        <v>1972</v>
      </c>
      <c r="B259" s="712">
        <f t="shared" si="82"/>
        <v>0</v>
      </c>
      <c r="C259" s="734">
        <f t="shared" si="81"/>
        <v>0</v>
      </c>
      <c r="D259">
        <f>Input!$H$4</f>
        <v>100</v>
      </c>
      <c r="E259">
        <f t="shared" si="73"/>
        <v>0.01</v>
      </c>
    </row>
    <row r="260" spans="1:5" ht="12.75">
      <c r="A260">
        <f t="shared" si="80"/>
        <v>1971</v>
      </c>
      <c r="B260" s="712">
        <f t="shared" si="82"/>
        <v>0</v>
      </c>
      <c r="C260" s="734">
        <f t="shared" si="81"/>
        <v>0</v>
      </c>
      <c r="D260">
        <f>Input!$H$4</f>
        <v>100</v>
      </c>
      <c r="E260">
        <f t="shared" si="73"/>
        <v>0.01</v>
      </c>
    </row>
    <row r="261" spans="1:5" ht="12.75">
      <c r="A261">
        <f t="shared" si="80"/>
        <v>1970</v>
      </c>
      <c r="B261" s="712">
        <f t="shared" si="82"/>
        <v>0</v>
      </c>
      <c r="C261" s="734">
        <f t="shared" si="81"/>
        <v>0</v>
      </c>
      <c r="D261">
        <f>Input!$H$4</f>
        <v>100</v>
      </c>
      <c r="E261">
        <f t="shared" si="73"/>
        <v>0.01</v>
      </c>
    </row>
    <row r="264" ht="12.75">
      <c r="A264" t="s">
        <v>510</v>
      </c>
    </row>
    <row r="265" spans="1:19" ht="12.75">
      <c r="A265" t="s">
        <v>308</v>
      </c>
      <c r="B265" t="s">
        <v>511</v>
      </c>
      <c r="C265" t="s">
        <v>512</v>
      </c>
      <c r="D265" t="s">
        <v>513</v>
      </c>
      <c r="E265" t="s">
        <v>471</v>
      </c>
      <c r="M265" t="s">
        <v>514</v>
      </c>
      <c r="N265" t="s">
        <v>476</v>
      </c>
      <c r="O265" t="s">
        <v>477</v>
      </c>
      <c r="P265" t="s">
        <v>478</v>
      </c>
      <c r="Q265" t="s">
        <v>479</v>
      </c>
      <c r="R265" t="s">
        <v>509</v>
      </c>
      <c r="S265" t="s">
        <v>515</v>
      </c>
    </row>
    <row r="266" spans="1:19" ht="12.75">
      <c r="A266">
        <v>2030</v>
      </c>
      <c r="B266" s="712">
        <f>Input!D$48</f>
        <v>0.03</v>
      </c>
      <c r="C266" s="734">
        <f>B266*Input!C9</f>
        <v>83577.87774163314</v>
      </c>
      <c r="D266">
        <f>Input!E4</f>
        <v>65</v>
      </c>
      <c r="E266">
        <f>1/D266</f>
        <v>0.015384615384615385</v>
      </c>
      <c r="M266" s="740">
        <f aca="true" t="shared" si="83" ref="M266:M296">SUMPRODUCT($K$3:$K$33,E266:E296,C266:C296,J$3:J$33)</f>
        <v>303772035.7706572</v>
      </c>
      <c r="N266" s="740">
        <f>10.1*M266</f>
        <v>3068097561.2836375</v>
      </c>
      <c r="O266" s="740">
        <f aca="true" t="shared" si="84" ref="O266:O296">SUMPRODUCT($K$3:$K$33,$J$3:$J$33,C266:C296)</f>
        <v>16725529828.11644</v>
      </c>
      <c r="P266" s="740">
        <f aca="true" t="shared" si="85" ref="P266:P296">SUMPRODUCT(C266:C296,J$3:J$33)</f>
        <v>1648994.6193339145</v>
      </c>
      <c r="Q266" s="741">
        <f>O266/M266</f>
        <v>55.05947835416929</v>
      </c>
      <c r="R266" s="712">
        <f aca="true" t="shared" si="86" ref="R266:R296">O266/Y3</f>
        <v>0.040979456769015585</v>
      </c>
      <c r="S266" s="712">
        <f>P266/V3</f>
        <v>0.04177449049548784</v>
      </c>
    </row>
    <row r="267" spans="1:19" ht="12.75">
      <c r="A267">
        <f>A266-1</f>
        <v>2029</v>
      </c>
      <c r="B267" s="712">
        <f aca="true" t="shared" si="87" ref="B267:B274">B268+($B$266-$B$276)/($A$266-$A$276)</f>
        <v>0.03199999999999999</v>
      </c>
      <c r="C267" s="734">
        <f>B267*Input!C10</f>
        <v>88008.36620917462</v>
      </c>
      <c r="D267">
        <f aca="true" t="shared" si="88" ref="D267:D295">$D$33+(($D$3-$D$33)/($A$3-$A$33))*(A267-$A$33)</f>
        <v>63.75</v>
      </c>
      <c r="E267">
        <f aca="true" t="shared" si="89" ref="E267:E296">1/D267</f>
        <v>0.01568627450980392</v>
      </c>
      <c r="M267" s="740">
        <f t="shared" si="83"/>
        <v>315155000.0546653</v>
      </c>
      <c r="N267" s="740">
        <f aca="true" t="shared" si="90" ref="N267:N296">10.1*M267</f>
        <v>3183065500.5521197</v>
      </c>
      <c r="O267" s="740">
        <f t="shared" si="84"/>
        <v>17003246591.844501</v>
      </c>
      <c r="P267" s="740">
        <f t="shared" si="85"/>
        <v>1663158.1982885178</v>
      </c>
      <c r="Q267" s="741">
        <f aca="true" t="shared" si="91" ref="Q267:Q296">O267/M267</f>
        <v>53.952012783853014</v>
      </c>
      <c r="R267" s="712">
        <f t="shared" si="86"/>
        <v>0.04229731048166061</v>
      </c>
      <c r="S267" s="712">
        <f aca="true" t="shared" si="92" ref="S267:S296">P267/V4</f>
        <v>0.04278756166133993</v>
      </c>
    </row>
    <row r="268" spans="1:19" ht="12.75">
      <c r="A268">
        <f aca="true" t="shared" si="93" ref="A268:A316">A267-1</f>
        <v>2028</v>
      </c>
      <c r="B268" s="712">
        <f t="shared" si="87"/>
        <v>0.03399999999999999</v>
      </c>
      <c r="C268" s="734">
        <f>B268*Input!C11</f>
        <v>92296.18342064525</v>
      </c>
      <c r="D268">
        <f t="shared" si="88"/>
        <v>62.5</v>
      </c>
      <c r="E268">
        <f t="shared" si="89"/>
        <v>0.016</v>
      </c>
      <c r="M268" s="740">
        <f t="shared" si="83"/>
        <v>325763640.2601667</v>
      </c>
      <c r="N268" s="740">
        <f t="shared" si="90"/>
        <v>3290212766.6276836</v>
      </c>
      <c r="O268" s="740">
        <f t="shared" si="84"/>
        <v>17212238710.051098</v>
      </c>
      <c r="P268" s="740">
        <f t="shared" si="85"/>
        <v>1671903.9031458362</v>
      </c>
      <c r="Q268" s="741">
        <f t="shared" si="91"/>
        <v>52.83658635538569</v>
      </c>
      <c r="R268" s="712">
        <f t="shared" si="86"/>
        <v>0.0434778423563318</v>
      </c>
      <c r="S268" s="712">
        <f t="shared" si="92"/>
        <v>0.04368215930132026</v>
      </c>
    </row>
    <row r="269" spans="1:19" ht="12.75">
      <c r="A269">
        <f t="shared" si="93"/>
        <v>2027</v>
      </c>
      <c r="B269" s="712">
        <f t="shared" si="87"/>
        <v>0.03599999999999999</v>
      </c>
      <c r="C269" s="734">
        <f>B269*Input!C12</f>
        <v>96441.32937604442</v>
      </c>
      <c r="D269">
        <f t="shared" si="88"/>
        <v>61.25</v>
      </c>
      <c r="E269">
        <f t="shared" si="89"/>
        <v>0.0163265306122449</v>
      </c>
      <c r="M269" s="740">
        <f t="shared" si="83"/>
        <v>335534142.78520095</v>
      </c>
      <c r="N269" s="740">
        <f t="shared" si="90"/>
        <v>3388894842.1305294</v>
      </c>
      <c r="O269" s="740">
        <f t="shared" si="84"/>
        <v>17350737903.241436</v>
      </c>
      <c r="P269" s="740">
        <f t="shared" si="85"/>
        <v>1675200.894827296</v>
      </c>
      <c r="Q269" s="741">
        <f t="shared" si="91"/>
        <v>51.71079687812535</v>
      </c>
      <c r="R269" s="712">
        <f t="shared" si="86"/>
        <v>0.04450795961649963</v>
      </c>
      <c r="S269" s="712">
        <f t="shared" si="92"/>
        <v>0.04445035978586554</v>
      </c>
    </row>
    <row r="270" spans="1:19" ht="12.75">
      <c r="A270">
        <f t="shared" si="93"/>
        <v>2026</v>
      </c>
      <c r="B270" s="712">
        <f t="shared" si="87"/>
        <v>0.03799999999999999</v>
      </c>
      <c r="C270" s="734">
        <f>B270*Input!C13</f>
        <v>100443.80407537316</v>
      </c>
      <c r="D270">
        <f t="shared" si="88"/>
        <v>60</v>
      </c>
      <c r="E270">
        <f t="shared" si="89"/>
        <v>0.016666666666666666</v>
      </c>
      <c r="M270" s="740">
        <f t="shared" si="83"/>
        <v>344413702.1101221</v>
      </c>
      <c r="N270" s="740">
        <f t="shared" si="90"/>
        <v>3478578391.312233</v>
      </c>
      <c r="O270" s="740">
        <f t="shared" si="84"/>
        <v>17417700892.157207</v>
      </c>
      <c r="P270" s="740">
        <f t="shared" si="85"/>
        <v>1673045.197017462</v>
      </c>
      <c r="Q270" s="741">
        <f t="shared" si="91"/>
        <v>50.57203237108177</v>
      </c>
      <c r="R270" s="712">
        <f t="shared" si="86"/>
        <v>0.04537541544696315</v>
      </c>
      <c r="S270" s="712">
        <f t="shared" si="92"/>
        <v>0.045084616810596376</v>
      </c>
    </row>
    <row r="271" spans="1:19" ht="12.75">
      <c r="A271">
        <f t="shared" si="93"/>
        <v>2025</v>
      </c>
      <c r="B271" s="712">
        <f t="shared" si="87"/>
        <v>0.039999999999999994</v>
      </c>
      <c r="C271" s="734">
        <f>B271*Input!C14</f>
        <v>104303.60751863096</v>
      </c>
      <c r="D271">
        <f t="shared" si="88"/>
        <v>58.75</v>
      </c>
      <c r="E271">
        <f t="shared" si="89"/>
        <v>0.01702127659574468</v>
      </c>
      <c r="M271" s="740">
        <f t="shared" si="83"/>
        <v>352356032.7234864</v>
      </c>
      <c r="N271" s="740">
        <f t="shared" si="90"/>
        <v>3558795930.5072126</v>
      </c>
      <c r="O271" s="740">
        <f t="shared" si="84"/>
        <v>17412570967.655495</v>
      </c>
      <c r="P271" s="740">
        <f t="shared" si="85"/>
        <v>1665429.3781291822</v>
      </c>
      <c r="Q271" s="741">
        <f t="shared" si="91"/>
        <v>49.41754745354429</v>
      </c>
      <c r="R271" s="712">
        <f t="shared" si="86"/>
        <v>0.04606946307998768</v>
      </c>
      <c r="S271" s="712">
        <f t="shared" si="92"/>
        <v>0.04557827574808469</v>
      </c>
    </row>
    <row r="272" spans="1:19" ht="12.75">
      <c r="A272">
        <f t="shared" si="93"/>
        <v>2024</v>
      </c>
      <c r="B272" s="712">
        <f t="shared" si="87"/>
        <v>0.041999999999999996</v>
      </c>
      <c r="C272" s="734">
        <f>B272*Input!C15</f>
        <v>108020.73970581792</v>
      </c>
      <c r="D272">
        <f t="shared" si="88"/>
        <v>57.5</v>
      </c>
      <c r="E272">
        <f t="shared" si="89"/>
        <v>0.017391304347826087</v>
      </c>
      <c r="M272" s="740">
        <f t="shared" si="83"/>
        <v>359330259.3071048</v>
      </c>
      <c r="N272" s="740">
        <f t="shared" si="90"/>
        <v>3629235619.0017586</v>
      </c>
      <c r="O272" s="740">
        <f t="shared" si="84"/>
        <v>17335500213.483414</v>
      </c>
      <c r="P272" s="740">
        <f t="shared" si="85"/>
        <v>1652472.4783600918</v>
      </c>
      <c r="Q272" s="741">
        <f t="shared" si="91"/>
        <v>48.24391980489312</v>
      </c>
      <c r="R272" s="712">
        <f t="shared" si="86"/>
        <v>0.04658049974626901</v>
      </c>
      <c r="S272" s="712">
        <f t="shared" si="92"/>
        <v>0.04592503495450727</v>
      </c>
    </row>
    <row r="273" spans="1:19" ht="12.75">
      <c r="A273">
        <f t="shared" si="93"/>
        <v>2023</v>
      </c>
      <c r="B273" s="712">
        <f t="shared" si="87"/>
        <v>0.044</v>
      </c>
      <c r="C273" s="734">
        <f>B273*Input!C16</f>
        <v>111595.20063693386</v>
      </c>
      <c r="D273">
        <f t="shared" si="88"/>
        <v>56.25</v>
      </c>
      <c r="E273">
        <f t="shared" si="89"/>
        <v>0.017777777777777778</v>
      </c>
      <c r="M273" s="740">
        <f t="shared" si="83"/>
        <v>365305525.5495422</v>
      </c>
      <c r="N273" s="740">
        <f t="shared" si="90"/>
        <v>3689585808.050376</v>
      </c>
      <c r="O273" s="740">
        <f t="shared" si="84"/>
        <v>17186806990.348625</v>
      </c>
      <c r="P273" s="740">
        <f t="shared" si="85"/>
        <v>1634225.8324812467</v>
      </c>
      <c r="Q273" s="741">
        <f t="shared" si="91"/>
        <v>47.04776081471501</v>
      </c>
      <c r="R273" s="712">
        <f t="shared" si="86"/>
        <v>0.046900223028187145</v>
      </c>
      <c r="S273" s="712">
        <f t="shared" si="92"/>
        <v>0.04611941696937905</v>
      </c>
    </row>
    <row r="274" spans="1:19" ht="12.75">
      <c r="A274">
        <f t="shared" si="93"/>
        <v>2022</v>
      </c>
      <c r="B274" s="712">
        <f t="shared" si="87"/>
        <v>0.046</v>
      </c>
      <c r="C274" s="734">
        <f>B274*Input!C17</f>
        <v>115026.99031197897</v>
      </c>
      <c r="D274">
        <f t="shared" si="88"/>
        <v>55</v>
      </c>
      <c r="E274">
        <f t="shared" si="89"/>
        <v>0.01818181818181818</v>
      </c>
      <c r="M274" s="740">
        <f t="shared" si="83"/>
        <v>370251914.1374385</v>
      </c>
      <c r="N274" s="740">
        <f t="shared" si="90"/>
        <v>3739544332.7881284</v>
      </c>
      <c r="O274" s="740">
        <f t="shared" si="84"/>
        <v>16967032418.54669</v>
      </c>
      <c r="P274" s="740">
        <f t="shared" si="85"/>
        <v>1610680.6538297264</v>
      </c>
      <c r="Q274" s="741">
        <f t="shared" si="91"/>
        <v>45.825644029617315</v>
      </c>
      <c r="R274" s="712">
        <f t="shared" si="86"/>
        <v>0.047020630797342075</v>
      </c>
      <c r="S274" s="712">
        <f t="shared" si="92"/>
        <v>0.046156668135388934</v>
      </c>
    </row>
    <row r="275" spans="1:19" ht="12.75">
      <c r="A275">
        <f t="shared" si="93"/>
        <v>2021</v>
      </c>
      <c r="B275" s="712">
        <f>B276+($B$266-$B$276)/($A$266-$A$276)</f>
        <v>0.048</v>
      </c>
      <c r="C275" s="734">
        <f>B275*Input!C18</f>
        <v>118316.10873095311</v>
      </c>
      <c r="D275">
        <f t="shared" si="88"/>
        <v>53.75</v>
      </c>
      <c r="E275">
        <f t="shared" si="89"/>
        <v>0.018604651162790697</v>
      </c>
      <c r="M275" s="740">
        <f t="shared" si="83"/>
        <v>374156390.4575442</v>
      </c>
      <c r="N275" s="740">
        <f t="shared" si="90"/>
        <v>3778979543.6211963</v>
      </c>
      <c r="O275" s="740">
        <f t="shared" si="84"/>
        <v>16676566669.266834</v>
      </c>
      <c r="P275" s="740">
        <f t="shared" si="85"/>
        <v>1581911.3079276346</v>
      </c>
      <c r="Q275" s="741">
        <f t="shared" si="91"/>
        <v>44.571112760825976</v>
      </c>
      <c r="R275" s="712">
        <f t="shared" si="86"/>
        <v>0.04693438571871313</v>
      </c>
      <c r="S275" s="712">
        <f t="shared" si="92"/>
        <v>0.04603263741670241</v>
      </c>
    </row>
    <row r="276" spans="1:19" ht="12.75">
      <c r="A276">
        <f t="shared" si="93"/>
        <v>2020</v>
      </c>
      <c r="B276" s="712">
        <f>Input!C$48</f>
        <v>0.05</v>
      </c>
      <c r="C276" s="734">
        <f>B276*Input!C19</f>
        <v>116134.91480594981</v>
      </c>
      <c r="D276">
        <f t="shared" si="88"/>
        <v>52.5</v>
      </c>
      <c r="E276">
        <f t="shared" si="89"/>
        <v>0.01904761904761905</v>
      </c>
      <c r="M276" s="740">
        <f t="shared" si="83"/>
        <v>377135733.50917137</v>
      </c>
      <c r="N276" s="740">
        <f t="shared" si="90"/>
        <v>3809070908.442631</v>
      </c>
      <c r="O276" s="740">
        <f t="shared" si="84"/>
        <v>16323292707.067232</v>
      </c>
      <c r="P276" s="740">
        <f t="shared" si="85"/>
        <v>1547916.1515492378</v>
      </c>
      <c r="Q276" s="741">
        <f t="shared" si="91"/>
        <v>43.28227546931793</v>
      </c>
      <c r="R276" s="712">
        <f t="shared" si="86"/>
        <v>0.046634625727053895</v>
      </c>
      <c r="S276" s="712">
        <f t="shared" si="92"/>
        <v>0.04574244600780118</v>
      </c>
    </row>
    <row r="277" spans="1:19" ht="12.75">
      <c r="A277">
        <f t="shared" si="93"/>
        <v>2019</v>
      </c>
      <c r="B277" s="712">
        <f aca="true" t="shared" si="94" ref="B277:B286">B278+($B$276-$B$288)/($A$276-$A$288)</f>
        <v>0.04950000000000001</v>
      </c>
      <c r="C277" s="734">
        <f>B277*Input!C20</f>
        <v>114060.28495624567</v>
      </c>
      <c r="D277">
        <f t="shared" si="88"/>
        <v>51.25</v>
      </c>
      <c r="E277">
        <f t="shared" si="89"/>
        <v>0.01951219512195122</v>
      </c>
      <c r="M277" s="740">
        <f t="shared" si="83"/>
        <v>380360614.63277733</v>
      </c>
      <c r="N277" s="740">
        <f t="shared" si="90"/>
        <v>3841642207.791051</v>
      </c>
      <c r="O277" s="740">
        <f t="shared" si="84"/>
        <v>15969697147.169495</v>
      </c>
      <c r="P277" s="740">
        <f t="shared" si="85"/>
        <v>1514188.7270897897</v>
      </c>
      <c r="Q277" s="741">
        <f t="shared" si="91"/>
        <v>41.98567499578679</v>
      </c>
      <c r="R277" s="712">
        <f t="shared" si="86"/>
        <v>0.04615089879514898</v>
      </c>
      <c r="S277" s="712">
        <f t="shared" si="92"/>
        <v>0.045294568126321766</v>
      </c>
    </row>
    <row r="278" spans="1:19" ht="12.75">
      <c r="A278">
        <f t="shared" si="93"/>
        <v>2018</v>
      </c>
      <c r="B278" s="712">
        <f t="shared" si="94"/>
        <v>0.04900000000000001</v>
      </c>
      <c r="C278" s="734">
        <f>B278*Input!C21</f>
        <v>111726.17456409233</v>
      </c>
      <c r="D278">
        <f t="shared" si="88"/>
        <v>50</v>
      </c>
      <c r="E278">
        <f t="shared" si="89"/>
        <v>0.02</v>
      </c>
      <c r="M278" s="740">
        <f t="shared" si="83"/>
        <v>383854190.9373521</v>
      </c>
      <c r="N278" s="740">
        <f t="shared" si="90"/>
        <v>3876927328.467256</v>
      </c>
      <c r="O278" s="740">
        <f t="shared" si="84"/>
        <v>15614653745.64363</v>
      </c>
      <c r="P278" s="740">
        <f t="shared" si="85"/>
        <v>1480657.7981818214</v>
      </c>
      <c r="Q278" s="741">
        <f t="shared" si="91"/>
        <v>40.6786069145512</v>
      </c>
      <c r="R278" s="712">
        <f t="shared" si="86"/>
        <v>0.04566953592007876</v>
      </c>
      <c r="S278" s="712">
        <f t="shared" si="92"/>
        <v>0.04485367708379833</v>
      </c>
    </row>
    <row r="279" spans="1:19" ht="12.75">
      <c r="A279">
        <f t="shared" si="93"/>
        <v>2017</v>
      </c>
      <c r="B279" s="712">
        <f t="shared" si="94"/>
        <v>0.04850000000000001</v>
      </c>
      <c r="C279" s="734">
        <f>B279*Input!C22</f>
        <v>109428.43377830337</v>
      </c>
      <c r="D279">
        <f t="shared" si="88"/>
        <v>48.75</v>
      </c>
      <c r="E279">
        <f t="shared" si="89"/>
        <v>0.020512820512820513</v>
      </c>
      <c r="M279" s="740">
        <f t="shared" si="83"/>
        <v>387723859.9962678</v>
      </c>
      <c r="N279" s="740">
        <f t="shared" si="90"/>
        <v>3916010985.9623046</v>
      </c>
      <c r="O279" s="740">
        <f t="shared" si="84"/>
        <v>15260797923.64255</v>
      </c>
      <c r="P279" s="740">
        <f t="shared" si="85"/>
        <v>1447604.6394439249</v>
      </c>
      <c r="Q279" s="741">
        <f t="shared" si="91"/>
        <v>39.359965940165374</v>
      </c>
      <c r="R279" s="712">
        <f t="shared" si="86"/>
        <v>0.04519168143400526</v>
      </c>
      <c r="S279" s="712">
        <f t="shared" si="92"/>
        <v>0.044421734209409626</v>
      </c>
    </row>
    <row r="280" spans="1:19" ht="12.75">
      <c r="A280">
        <f t="shared" si="93"/>
        <v>2016</v>
      </c>
      <c r="B280" s="712">
        <f t="shared" si="94"/>
        <v>0.04800000000000001</v>
      </c>
      <c r="C280" s="734">
        <f>B280*Input!C23</f>
        <v>107166.55692087673</v>
      </c>
      <c r="D280">
        <f t="shared" si="88"/>
        <v>47.5</v>
      </c>
      <c r="E280">
        <f t="shared" si="89"/>
        <v>0.021052631578947368</v>
      </c>
      <c r="M280" s="740">
        <f t="shared" si="83"/>
        <v>392009324.77386427</v>
      </c>
      <c r="N280" s="740">
        <f t="shared" si="90"/>
        <v>3959294180.216029</v>
      </c>
      <c r="O280" s="740">
        <f t="shared" si="84"/>
        <v>14907081773.281876</v>
      </c>
      <c r="P280" s="740">
        <f t="shared" si="85"/>
        <v>1414978.3755696206</v>
      </c>
      <c r="Q280" s="741">
        <f t="shared" si="91"/>
        <v>38.02736524668443</v>
      </c>
      <c r="R280" s="712">
        <f t="shared" si="86"/>
        <v>0.044718518605600215</v>
      </c>
      <c r="S280" s="712">
        <f t="shared" si="92"/>
        <v>0.04400028195930171</v>
      </c>
    </row>
    <row r="281" spans="1:19" ht="12.75">
      <c r="A281">
        <f t="shared" si="93"/>
        <v>2015</v>
      </c>
      <c r="B281" s="712">
        <f t="shared" si="94"/>
        <v>0.04750000000000001</v>
      </c>
      <c r="C281" s="734">
        <f>B281*Input!C24</f>
        <v>104940.04491547997</v>
      </c>
      <c r="D281">
        <f t="shared" si="88"/>
        <v>46.25</v>
      </c>
      <c r="E281">
        <f t="shared" si="89"/>
        <v>0.021621621621621623</v>
      </c>
      <c r="M281" s="740">
        <f t="shared" si="83"/>
        <v>396780560.47308844</v>
      </c>
      <c r="N281" s="740">
        <f t="shared" si="90"/>
        <v>4007483660.778193</v>
      </c>
      <c r="O281" s="740">
        <f t="shared" si="84"/>
        <v>14552907471.315268</v>
      </c>
      <c r="P281" s="740">
        <f t="shared" si="85"/>
        <v>1382808.8174224962</v>
      </c>
      <c r="Q281" s="741">
        <f t="shared" si="91"/>
        <v>36.67747092741534</v>
      </c>
      <c r="R281" s="712">
        <f t="shared" si="86"/>
        <v>0.044251590904082296</v>
      </c>
      <c r="S281" s="712">
        <f t="shared" si="92"/>
        <v>0.0435908913437107</v>
      </c>
    </row>
    <row r="282" spans="1:19" ht="12.75">
      <c r="A282">
        <f t="shared" si="93"/>
        <v>2014</v>
      </c>
      <c r="B282" s="712">
        <f t="shared" si="94"/>
        <v>0.04700000000000001</v>
      </c>
      <c r="C282" s="734">
        <f>B282*Input!C25</f>
        <v>102748.40520464805</v>
      </c>
      <c r="D282">
        <f t="shared" si="88"/>
        <v>45</v>
      </c>
      <c r="E282">
        <f t="shared" si="89"/>
        <v>0.022222222222222223</v>
      </c>
      <c r="M282" s="740">
        <f t="shared" si="83"/>
        <v>402112751.21638304</v>
      </c>
      <c r="N282" s="740">
        <f t="shared" si="90"/>
        <v>4061338787.2854686</v>
      </c>
      <c r="O282" s="740">
        <f t="shared" si="84"/>
        <v>14199374401.94706</v>
      </c>
      <c r="P282" s="740">
        <f t="shared" si="85"/>
        <v>1351278.2806253305</v>
      </c>
      <c r="Q282" s="741">
        <f t="shared" si="91"/>
        <v>35.31192273558656</v>
      </c>
      <c r="R282" s="712">
        <f t="shared" si="86"/>
        <v>0.04379277214696114</v>
      </c>
      <c r="S282" s="712">
        <f t="shared" si="92"/>
        <v>0.0431949761807959</v>
      </c>
    </row>
    <row r="283" spans="1:19" ht="12.75">
      <c r="A283">
        <f t="shared" si="93"/>
        <v>2013</v>
      </c>
      <c r="B283" s="712">
        <f t="shared" si="94"/>
        <v>0.04650000000000001</v>
      </c>
      <c r="C283" s="734">
        <f>B283*Input!C26</f>
        <v>100591.15166799094</v>
      </c>
      <c r="D283">
        <f t="shared" si="88"/>
        <v>43.75</v>
      </c>
      <c r="E283">
        <f t="shared" si="89"/>
        <v>0.022857142857142857</v>
      </c>
      <c r="M283" s="740">
        <f t="shared" si="83"/>
        <v>408010694.7475976</v>
      </c>
      <c r="N283" s="740">
        <f t="shared" si="90"/>
        <v>4120908016.9507356</v>
      </c>
      <c r="O283" s="740">
        <f t="shared" si="84"/>
        <v>13847447006.745451</v>
      </c>
      <c r="P283" s="740">
        <f t="shared" si="85"/>
        <v>1320495.4690147433</v>
      </c>
      <c r="Q283" s="741">
        <f t="shared" si="91"/>
        <v>33.938931466763925</v>
      </c>
      <c r="R283" s="712">
        <f t="shared" si="86"/>
        <v>0.04334394105138204</v>
      </c>
      <c r="S283" s="712">
        <f t="shared" si="92"/>
        <v>0.042814124397371554</v>
      </c>
    </row>
    <row r="284" spans="1:19" ht="12.75">
      <c r="A284">
        <f t="shared" si="93"/>
        <v>2012</v>
      </c>
      <c r="B284" s="712">
        <f t="shared" si="94"/>
        <v>0.046000000000000006</v>
      </c>
      <c r="C284" s="734">
        <f>B284*Input!C27</f>
        <v>98467.80454139962</v>
      </c>
      <c r="D284">
        <f t="shared" si="88"/>
        <v>42.5</v>
      </c>
      <c r="E284">
        <f t="shared" si="89"/>
        <v>0.023529411764705882</v>
      </c>
      <c r="M284" s="740">
        <f t="shared" si="83"/>
        <v>414425313.7302931</v>
      </c>
      <c r="N284" s="740">
        <f t="shared" si="90"/>
        <v>4185695668.67596</v>
      </c>
      <c r="O284" s="740">
        <f t="shared" si="84"/>
        <v>13498224611.666225</v>
      </c>
      <c r="P284" s="740">
        <f t="shared" si="85"/>
        <v>1290525.850554206</v>
      </c>
      <c r="Q284" s="741">
        <f t="shared" si="91"/>
        <v>32.57094623435776</v>
      </c>
      <c r="R284" s="712">
        <f t="shared" si="86"/>
        <v>0.042907846171177676</v>
      </c>
      <c r="S284" s="712">
        <f t="shared" si="92"/>
        <v>0.04245002217600234</v>
      </c>
    </row>
    <row r="285" spans="1:19" ht="12.75">
      <c r="A285">
        <f t="shared" si="93"/>
        <v>2011</v>
      </c>
      <c r="B285" s="712">
        <f t="shared" si="94"/>
        <v>0.045500000000000006</v>
      </c>
      <c r="C285" s="734">
        <f>B285*Input!C28</f>
        <v>96377.89033723828</v>
      </c>
      <c r="D285">
        <f t="shared" si="88"/>
        <v>41.25</v>
      </c>
      <c r="E285">
        <f t="shared" si="89"/>
        <v>0.024242424242424242</v>
      </c>
      <c r="M285" s="740">
        <f t="shared" si="83"/>
        <v>421378515.8182857</v>
      </c>
      <c r="N285" s="740">
        <f t="shared" si="90"/>
        <v>4255923009.7646856</v>
      </c>
      <c r="O285" s="740">
        <f t="shared" si="84"/>
        <v>13154441540.774616</v>
      </c>
      <c r="P285" s="740">
        <f t="shared" si="85"/>
        <v>1261556.8810490465</v>
      </c>
      <c r="Q285" s="741">
        <f t="shared" si="91"/>
        <v>31.21763698661682</v>
      </c>
      <c r="R285" s="712">
        <f t="shared" si="86"/>
        <v>0.04248690824648072</v>
      </c>
      <c r="S285" s="712">
        <f t="shared" si="92"/>
        <v>0.04210430216857922</v>
      </c>
    </row>
    <row r="286" spans="1:19" ht="12.75">
      <c r="A286">
        <f t="shared" si="93"/>
        <v>2010</v>
      </c>
      <c r="B286" s="712">
        <f t="shared" si="94"/>
        <v>0.045000000000000005</v>
      </c>
      <c r="C286" s="734">
        <f>B286*Input!C29</f>
        <v>94320.94176551046</v>
      </c>
      <c r="D286">
        <f t="shared" si="88"/>
        <v>40</v>
      </c>
      <c r="E286">
        <f t="shared" si="89"/>
        <v>0.025</v>
      </c>
      <c r="M286" s="740">
        <f t="shared" si="83"/>
        <v>428758580.48591554</v>
      </c>
      <c r="N286" s="740">
        <f t="shared" si="90"/>
        <v>4330461662.907747</v>
      </c>
      <c r="O286" s="740">
        <f t="shared" si="84"/>
        <v>12818114072.719006</v>
      </c>
      <c r="P286" s="740">
        <f t="shared" si="85"/>
        <v>1233677.2454279237</v>
      </c>
      <c r="Q286" s="741">
        <f t="shared" si="91"/>
        <v>29.895877671280967</v>
      </c>
      <c r="R286" s="712">
        <f t="shared" si="86"/>
        <v>0.042084226000093976</v>
      </c>
      <c r="S286" s="712">
        <f t="shared" si="92"/>
        <v>0.04177866212807017</v>
      </c>
    </row>
    <row r="287" spans="1:19" ht="12.75">
      <c r="A287">
        <f t="shared" si="93"/>
        <v>2009</v>
      </c>
      <c r="B287" s="712">
        <f>B288+($B$276-$B$288)/($A$276-$A$288)</f>
        <v>0.044500000000000005</v>
      </c>
      <c r="C287" s="734">
        <f>B287*Input!C30</f>
        <v>91920.38728699644</v>
      </c>
      <c r="D287">
        <f t="shared" si="88"/>
        <v>38.75</v>
      </c>
      <c r="E287">
        <f t="shared" si="89"/>
        <v>0.025806451612903226</v>
      </c>
      <c r="M287" s="740">
        <f t="shared" si="83"/>
        <v>436291395.16665643</v>
      </c>
      <c r="N287" s="740">
        <f t="shared" si="90"/>
        <v>4406543091.183229</v>
      </c>
      <c r="O287" s="740">
        <f t="shared" si="84"/>
        <v>12487806677.279434</v>
      </c>
      <c r="P287" s="740">
        <f t="shared" si="85"/>
        <v>1199441.557702783</v>
      </c>
      <c r="Q287" s="741">
        <f t="shared" si="91"/>
        <v>28.622628856820082</v>
      </c>
      <c r="R287" s="712">
        <f t="shared" si="86"/>
        <v>0.0416897086492294</v>
      </c>
      <c r="S287" s="712">
        <f t="shared" si="92"/>
        <v>0.04121623001928731</v>
      </c>
    </row>
    <row r="288" spans="1:19" ht="12.75">
      <c r="A288">
        <f t="shared" si="93"/>
        <v>2008</v>
      </c>
      <c r="B288" s="712">
        <f aca="true" t="shared" si="95" ref="B288:B294">B289+(B$276-B$296)/(A$276-A$296)</f>
        <v>0.044000000000000004</v>
      </c>
      <c r="C288" s="734">
        <f>B288*Input!C31</f>
        <v>89569.61982630164</v>
      </c>
      <c r="D288">
        <f t="shared" si="88"/>
        <v>37.5</v>
      </c>
      <c r="E288">
        <f t="shared" si="89"/>
        <v>0.02666666666666667</v>
      </c>
      <c r="M288" s="740">
        <f t="shared" si="83"/>
        <v>444165137.93008757</v>
      </c>
      <c r="N288" s="740">
        <f t="shared" si="90"/>
        <v>4486067893.093884</v>
      </c>
      <c r="O288" s="740">
        <f t="shared" si="84"/>
        <v>12173161660.276993</v>
      </c>
      <c r="P288" s="740">
        <f t="shared" si="85"/>
        <v>1166527.956037959</v>
      </c>
      <c r="Q288" s="741">
        <f t="shared" si="91"/>
        <v>27.406837279050638</v>
      </c>
      <c r="R288" s="712">
        <f t="shared" si="86"/>
        <v>0.0413174582181416</v>
      </c>
      <c r="S288" s="712">
        <f t="shared" si="92"/>
        <v>0.04065957840665974</v>
      </c>
    </row>
    <row r="289" spans="1:19" ht="12.75">
      <c r="A289">
        <f t="shared" si="93"/>
        <v>2007</v>
      </c>
      <c r="B289" s="712">
        <f t="shared" si="95"/>
        <v>0.043500000000000004</v>
      </c>
      <c r="C289" s="734">
        <f>B289*Input!C32</f>
        <v>88756.39302474697</v>
      </c>
      <c r="D289">
        <f t="shared" si="88"/>
        <v>36.25</v>
      </c>
      <c r="E289">
        <f t="shared" si="89"/>
        <v>0.027586206896551724</v>
      </c>
      <c r="M289" s="740">
        <f t="shared" si="83"/>
        <v>452195958.27736264</v>
      </c>
      <c r="N289" s="740">
        <f t="shared" si="90"/>
        <v>4567179178.601362</v>
      </c>
      <c r="O289" s="740">
        <f t="shared" si="84"/>
        <v>11873538112.617708</v>
      </c>
      <c r="P289" s="740">
        <f t="shared" si="85"/>
        <v>1134960.9228877644</v>
      </c>
      <c r="Q289" s="741">
        <f t="shared" si="91"/>
        <v>26.25750605522851</v>
      </c>
      <c r="R289" s="712">
        <f t="shared" si="86"/>
        <v>0.04095690953466944</v>
      </c>
      <c r="S289" s="712">
        <f t="shared" si="92"/>
        <v>0.04010812992488567</v>
      </c>
    </row>
    <row r="290" spans="1:19" ht="12.75">
      <c r="A290">
        <f t="shared" si="93"/>
        <v>2006</v>
      </c>
      <c r="B290" s="712">
        <f t="shared" si="95"/>
        <v>0.043000000000000003</v>
      </c>
      <c r="C290" s="734">
        <f>B290*Input!C33</f>
        <v>86607.05113658805</v>
      </c>
      <c r="D290">
        <f t="shared" si="88"/>
        <v>35</v>
      </c>
      <c r="E290">
        <f t="shared" si="89"/>
        <v>0.02857142857142857</v>
      </c>
      <c r="M290" s="740">
        <f t="shared" si="83"/>
        <v>459848986.1670278</v>
      </c>
      <c r="N290" s="740">
        <f t="shared" si="90"/>
        <v>4644474760.286981</v>
      </c>
      <c r="O290" s="740">
        <f t="shared" si="84"/>
        <v>11574859876.056044</v>
      </c>
      <c r="P290" s="740">
        <f t="shared" si="85"/>
        <v>1103241.5656092574</v>
      </c>
      <c r="Q290" s="741">
        <f t="shared" si="91"/>
        <v>25.171002273019663</v>
      </c>
      <c r="R290" s="712">
        <f t="shared" si="86"/>
        <v>0.04052152045290069</v>
      </c>
      <c r="S290" s="712">
        <f t="shared" si="92"/>
        <v>0.0395566959537876</v>
      </c>
    </row>
    <row r="291" spans="1:19" ht="12.75">
      <c r="A291">
        <f t="shared" si="93"/>
        <v>2005</v>
      </c>
      <c r="B291" s="712">
        <f t="shared" si="95"/>
        <v>0.0425</v>
      </c>
      <c r="C291" s="734">
        <f>B291*Input!C34</f>
        <v>84316.5533773128</v>
      </c>
      <c r="D291">
        <f t="shared" si="88"/>
        <v>33.75</v>
      </c>
      <c r="E291">
        <f t="shared" si="89"/>
        <v>0.02962962962962963</v>
      </c>
      <c r="M291" s="740">
        <f t="shared" si="83"/>
        <v>467549656.8840509</v>
      </c>
      <c r="N291" s="740">
        <f t="shared" si="90"/>
        <v>4722251534.528914</v>
      </c>
      <c r="O291" s="740">
        <f t="shared" si="84"/>
        <v>11303238348.21198</v>
      </c>
      <c r="P291" s="740">
        <f t="shared" si="85"/>
        <v>1089182.6716477275</v>
      </c>
      <c r="Q291" s="741">
        <f t="shared" si="91"/>
        <v>24.175482072945048</v>
      </c>
      <c r="R291" s="712">
        <f t="shared" si="86"/>
        <v>0.04017770641589891</v>
      </c>
      <c r="S291" s="712">
        <f t="shared" si="92"/>
        <v>0.03960519549831541</v>
      </c>
    </row>
    <row r="292" spans="1:19" ht="12.75">
      <c r="A292">
        <f t="shared" si="93"/>
        <v>2004</v>
      </c>
      <c r="B292" s="712">
        <f t="shared" si="95"/>
        <v>0.042</v>
      </c>
      <c r="C292" s="734">
        <f>B292*Input!C35</f>
        <v>81920.32966719777</v>
      </c>
      <c r="D292">
        <f t="shared" si="88"/>
        <v>32.5</v>
      </c>
      <c r="E292">
        <f t="shared" si="89"/>
        <v>0.03076923076923077</v>
      </c>
      <c r="M292" s="740">
        <f t="shared" si="83"/>
        <v>475080996.0686388</v>
      </c>
      <c r="N292" s="740">
        <f t="shared" si="90"/>
        <v>4798318060.293252</v>
      </c>
      <c r="O292" s="740">
        <f t="shared" si="84"/>
        <v>11054299633.098318</v>
      </c>
      <c r="P292" s="740">
        <f t="shared" si="85"/>
        <v>1076949.4924461253</v>
      </c>
      <c r="Q292" s="741">
        <f t="shared" si="91"/>
        <v>23.268242098871944</v>
      </c>
      <c r="R292" s="712">
        <f t="shared" si="86"/>
        <v>0.03987265883984574</v>
      </c>
      <c r="S292" s="712">
        <f t="shared" si="92"/>
        <v>0.03968888189571805</v>
      </c>
    </row>
    <row r="293" spans="1:19" ht="12.75">
      <c r="A293">
        <f t="shared" si="93"/>
        <v>2003</v>
      </c>
      <c r="B293" s="712">
        <f t="shared" si="95"/>
        <v>0.0415</v>
      </c>
      <c r="C293" s="734">
        <f>B293*Input!C36</f>
        <v>76506.21759424306</v>
      </c>
      <c r="D293">
        <f t="shared" si="88"/>
        <v>31.25</v>
      </c>
      <c r="E293">
        <f t="shared" si="89"/>
        <v>0.032</v>
      </c>
      <c r="M293" s="740">
        <f t="shared" si="83"/>
        <v>482534748.059261</v>
      </c>
      <c r="N293" s="740">
        <f t="shared" si="90"/>
        <v>4873600955.398536</v>
      </c>
      <c r="O293" s="740">
        <f t="shared" si="84"/>
        <v>10834911127.901443</v>
      </c>
      <c r="P293" s="740">
        <f t="shared" si="85"/>
        <v>1066752.9437828432</v>
      </c>
      <c r="Q293" s="741">
        <f t="shared" si="91"/>
        <v>22.45415728396577</v>
      </c>
      <c r="R293" s="712">
        <f t="shared" si="86"/>
        <v>0.03963899383661435</v>
      </c>
      <c r="S293" s="712">
        <f t="shared" si="92"/>
        <v>0.039810970379409845</v>
      </c>
    </row>
    <row r="294" spans="1:19" ht="12.75">
      <c r="A294">
        <f t="shared" si="93"/>
        <v>2002</v>
      </c>
      <c r="B294" s="712">
        <f t="shared" si="95"/>
        <v>0.041</v>
      </c>
      <c r="C294" s="734">
        <f>B294*Input!C37</f>
        <v>80315.65976150497</v>
      </c>
      <c r="D294">
        <f t="shared" si="88"/>
        <v>30</v>
      </c>
      <c r="E294">
        <f t="shared" si="89"/>
        <v>0.03333333333333333</v>
      </c>
      <c r="M294" s="740">
        <f t="shared" si="83"/>
        <v>490534162.79679066</v>
      </c>
      <c r="N294" s="740">
        <f t="shared" si="90"/>
        <v>4954395044.247585</v>
      </c>
      <c r="O294" s="740">
        <f t="shared" si="84"/>
        <v>10668491296.237988</v>
      </c>
      <c r="P294" s="740">
        <f t="shared" si="85"/>
        <v>1061830.2732452957</v>
      </c>
      <c r="Q294" s="741">
        <f t="shared" si="91"/>
        <v>21.74872232223616</v>
      </c>
      <c r="R294" s="712">
        <f t="shared" si="86"/>
        <v>0.039472632236776245</v>
      </c>
      <c r="S294" s="712">
        <f t="shared" si="92"/>
        <v>0.03997528950556751</v>
      </c>
    </row>
    <row r="295" spans="1:19" ht="12.75">
      <c r="A295">
        <f t="shared" si="93"/>
        <v>2001</v>
      </c>
      <c r="B295" s="712">
        <f>B296+(B$276-B$296)/(A$276-A$296)</f>
        <v>0.0405</v>
      </c>
      <c r="C295" s="734">
        <f>B295*Input!C38</f>
        <v>76771.69451001832</v>
      </c>
      <c r="D295">
        <f t="shared" si="88"/>
        <v>28.75</v>
      </c>
      <c r="E295">
        <f t="shared" si="89"/>
        <v>0.034782608695652174</v>
      </c>
      <c r="M295" s="740">
        <f t="shared" si="83"/>
        <v>495672140.1095246</v>
      </c>
      <c r="N295" s="740">
        <f t="shared" si="90"/>
        <v>5006288615.106198</v>
      </c>
      <c r="O295" s="740">
        <f t="shared" si="84"/>
        <v>10455999191.242094</v>
      </c>
      <c r="P295" s="740">
        <f t="shared" si="85"/>
        <v>1052110.6268680745</v>
      </c>
      <c r="Q295" s="741">
        <f t="shared" si="91"/>
        <v>21.094587218340973</v>
      </c>
      <c r="R295" s="712">
        <f t="shared" si="86"/>
        <v>0.039352315710845256</v>
      </c>
      <c r="S295" s="712">
        <f t="shared" si="92"/>
        <v>0.040145777969061214</v>
      </c>
    </row>
    <row r="296" spans="1:19" ht="12.75">
      <c r="A296">
        <f t="shared" si="93"/>
        <v>2000</v>
      </c>
      <c r="B296" s="712">
        <f>Input!B$48</f>
        <v>0.04</v>
      </c>
      <c r="C296" s="734">
        <f>B296*Input!C39</f>
        <v>63825.53600188957</v>
      </c>
      <c r="D296">
        <f>Input!E5</f>
        <v>27.5</v>
      </c>
      <c r="E296">
        <f t="shared" si="89"/>
        <v>0.03636363636363636</v>
      </c>
      <c r="M296" s="740">
        <f t="shared" si="83"/>
        <v>501069736.97400814</v>
      </c>
      <c r="N296" s="740">
        <f t="shared" si="90"/>
        <v>5060804343.437482</v>
      </c>
      <c r="O296" s="740">
        <f t="shared" si="84"/>
        <v>10294957756.469057</v>
      </c>
      <c r="P296" s="740">
        <f t="shared" si="85"/>
        <v>1044927.4864479814</v>
      </c>
      <c r="Q296" s="741">
        <f t="shared" si="91"/>
        <v>20.54595797112186</v>
      </c>
      <c r="R296" s="712">
        <f t="shared" si="86"/>
        <v>0.03928415980784409</v>
      </c>
      <c r="S296" s="712">
        <f t="shared" si="92"/>
        <v>0.040333329262174984</v>
      </c>
    </row>
    <row r="297" spans="1:5" ht="12.75">
      <c r="A297">
        <f t="shared" si="93"/>
        <v>1999</v>
      </c>
      <c r="B297" s="712">
        <f>B296</f>
        <v>0.04</v>
      </c>
      <c r="C297" s="734">
        <f>U34*B297</f>
        <v>63825.53600188957</v>
      </c>
      <c r="D297">
        <v>20</v>
      </c>
      <c r="E297">
        <f>1/D297</f>
        <v>0.05</v>
      </c>
    </row>
    <row r="298" spans="1:5" ht="12.75">
      <c r="A298">
        <f t="shared" si="93"/>
        <v>1998</v>
      </c>
      <c r="B298" s="712">
        <f aca="true" t="shared" si="96" ref="B298:B316">B297</f>
        <v>0.04</v>
      </c>
      <c r="C298" s="734">
        <f aca="true" t="shared" si="97" ref="C298:C316">U35*B298</f>
        <v>63825.53600188957</v>
      </c>
      <c r="D298">
        <f>D297</f>
        <v>20</v>
      </c>
      <c r="E298">
        <f aca="true" t="shared" si="98" ref="E298:E316">1/D298</f>
        <v>0.05</v>
      </c>
    </row>
    <row r="299" spans="1:5" ht="12.75">
      <c r="A299">
        <f t="shared" si="93"/>
        <v>1997</v>
      </c>
      <c r="B299" s="712">
        <f t="shared" si="96"/>
        <v>0.04</v>
      </c>
      <c r="C299" s="734">
        <f t="shared" si="97"/>
        <v>63825.53600188957</v>
      </c>
      <c r="D299">
        <f aca="true" t="shared" si="99" ref="D299:D316">D298</f>
        <v>20</v>
      </c>
      <c r="E299">
        <f t="shared" si="98"/>
        <v>0.05</v>
      </c>
    </row>
    <row r="300" spans="1:5" ht="12.75">
      <c r="A300">
        <f t="shared" si="93"/>
        <v>1996</v>
      </c>
      <c r="B300" s="712">
        <f t="shared" si="96"/>
        <v>0.04</v>
      </c>
      <c r="C300" s="734">
        <f t="shared" si="97"/>
        <v>63825.53600188957</v>
      </c>
      <c r="D300">
        <f t="shared" si="99"/>
        <v>20</v>
      </c>
      <c r="E300">
        <f t="shared" si="98"/>
        <v>0.05</v>
      </c>
    </row>
    <row r="301" spans="1:5" ht="12.75">
      <c r="A301">
        <f t="shared" si="93"/>
        <v>1995</v>
      </c>
      <c r="B301" s="712">
        <f t="shared" si="96"/>
        <v>0.04</v>
      </c>
      <c r="C301" s="734">
        <f t="shared" si="97"/>
        <v>63825.53600188957</v>
      </c>
      <c r="D301">
        <f t="shared" si="99"/>
        <v>20</v>
      </c>
      <c r="E301">
        <f t="shared" si="98"/>
        <v>0.05</v>
      </c>
    </row>
    <row r="302" spans="1:5" ht="12.75">
      <c r="A302">
        <f t="shared" si="93"/>
        <v>1994</v>
      </c>
      <c r="B302" s="712">
        <f t="shared" si="96"/>
        <v>0.04</v>
      </c>
      <c r="C302" s="734">
        <f t="shared" si="97"/>
        <v>63825.53600188957</v>
      </c>
      <c r="D302">
        <f t="shared" si="99"/>
        <v>20</v>
      </c>
      <c r="E302">
        <f t="shared" si="98"/>
        <v>0.05</v>
      </c>
    </row>
    <row r="303" spans="1:5" ht="12.75">
      <c r="A303">
        <f t="shared" si="93"/>
        <v>1993</v>
      </c>
      <c r="B303" s="712">
        <f t="shared" si="96"/>
        <v>0.04</v>
      </c>
      <c r="C303" s="734">
        <f t="shared" si="97"/>
        <v>63825.53600188957</v>
      </c>
      <c r="D303">
        <f t="shared" si="99"/>
        <v>20</v>
      </c>
      <c r="E303">
        <f t="shared" si="98"/>
        <v>0.05</v>
      </c>
    </row>
    <row r="304" spans="1:5" ht="12.75">
      <c r="A304">
        <f t="shared" si="93"/>
        <v>1992</v>
      </c>
      <c r="B304" s="712">
        <f t="shared" si="96"/>
        <v>0.04</v>
      </c>
      <c r="C304" s="734">
        <f t="shared" si="97"/>
        <v>63825.53600188957</v>
      </c>
      <c r="D304">
        <f t="shared" si="99"/>
        <v>20</v>
      </c>
      <c r="E304">
        <f t="shared" si="98"/>
        <v>0.05</v>
      </c>
    </row>
    <row r="305" spans="1:5" ht="12.75">
      <c r="A305">
        <f t="shared" si="93"/>
        <v>1991</v>
      </c>
      <c r="B305" s="712">
        <f t="shared" si="96"/>
        <v>0.04</v>
      </c>
      <c r="C305" s="734">
        <f t="shared" si="97"/>
        <v>63825.53600188957</v>
      </c>
      <c r="D305">
        <f t="shared" si="99"/>
        <v>20</v>
      </c>
      <c r="E305">
        <f t="shared" si="98"/>
        <v>0.05</v>
      </c>
    </row>
    <row r="306" spans="1:5" ht="12.75">
      <c r="A306">
        <f t="shared" si="93"/>
        <v>1990</v>
      </c>
      <c r="B306" s="712">
        <f t="shared" si="96"/>
        <v>0.04</v>
      </c>
      <c r="C306" s="734">
        <f t="shared" si="97"/>
        <v>63825.53600188957</v>
      </c>
      <c r="D306">
        <f t="shared" si="99"/>
        <v>20</v>
      </c>
      <c r="E306">
        <f t="shared" si="98"/>
        <v>0.05</v>
      </c>
    </row>
    <row r="307" spans="1:5" ht="12.75">
      <c r="A307">
        <f t="shared" si="93"/>
        <v>1989</v>
      </c>
      <c r="B307" s="712">
        <f t="shared" si="96"/>
        <v>0.04</v>
      </c>
      <c r="C307" s="734">
        <f t="shared" si="97"/>
        <v>63825.53600188957</v>
      </c>
      <c r="D307">
        <f t="shared" si="99"/>
        <v>20</v>
      </c>
      <c r="E307">
        <f t="shared" si="98"/>
        <v>0.05</v>
      </c>
    </row>
    <row r="308" spans="1:5" ht="12.75">
      <c r="A308">
        <f t="shared" si="93"/>
        <v>1988</v>
      </c>
      <c r="B308" s="712">
        <f t="shared" si="96"/>
        <v>0.04</v>
      </c>
      <c r="C308" s="734">
        <f t="shared" si="97"/>
        <v>63825.53600188957</v>
      </c>
      <c r="D308">
        <f t="shared" si="99"/>
        <v>20</v>
      </c>
      <c r="E308">
        <f t="shared" si="98"/>
        <v>0.05</v>
      </c>
    </row>
    <row r="309" spans="1:5" ht="12.75">
      <c r="A309">
        <f t="shared" si="93"/>
        <v>1987</v>
      </c>
      <c r="B309" s="712">
        <f t="shared" si="96"/>
        <v>0.04</v>
      </c>
      <c r="C309" s="734">
        <f t="shared" si="97"/>
        <v>63825.53600188957</v>
      </c>
      <c r="D309">
        <f t="shared" si="99"/>
        <v>20</v>
      </c>
      <c r="E309">
        <f t="shared" si="98"/>
        <v>0.05</v>
      </c>
    </row>
    <row r="310" spans="1:5" ht="12.75">
      <c r="A310">
        <f t="shared" si="93"/>
        <v>1986</v>
      </c>
      <c r="B310" s="712">
        <f t="shared" si="96"/>
        <v>0.04</v>
      </c>
      <c r="C310" s="734">
        <f t="shared" si="97"/>
        <v>63825.53600188957</v>
      </c>
      <c r="D310">
        <f t="shared" si="99"/>
        <v>20</v>
      </c>
      <c r="E310">
        <f t="shared" si="98"/>
        <v>0.05</v>
      </c>
    </row>
    <row r="311" spans="1:5" ht="12.75">
      <c r="A311">
        <f t="shared" si="93"/>
        <v>1985</v>
      </c>
      <c r="B311" s="712">
        <f t="shared" si="96"/>
        <v>0.04</v>
      </c>
      <c r="C311" s="734">
        <f t="shared" si="97"/>
        <v>63825.53600188957</v>
      </c>
      <c r="D311">
        <f t="shared" si="99"/>
        <v>20</v>
      </c>
      <c r="E311">
        <f t="shared" si="98"/>
        <v>0.05</v>
      </c>
    </row>
    <row r="312" spans="1:5" ht="12.75">
      <c r="A312">
        <f t="shared" si="93"/>
        <v>1984</v>
      </c>
      <c r="B312" s="712">
        <f t="shared" si="96"/>
        <v>0.04</v>
      </c>
      <c r="C312" s="734">
        <f t="shared" si="97"/>
        <v>63825.53600188957</v>
      </c>
      <c r="D312">
        <f t="shared" si="99"/>
        <v>20</v>
      </c>
      <c r="E312">
        <f t="shared" si="98"/>
        <v>0.05</v>
      </c>
    </row>
    <row r="313" spans="1:5" ht="12.75">
      <c r="A313">
        <f t="shared" si="93"/>
        <v>1983</v>
      </c>
      <c r="B313" s="712">
        <f t="shared" si="96"/>
        <v>0.04</v>
      </c>
      <c r="C313" s="734">
        <f t="shared" si="97"/>
        <v>63825.53600188957</v>
      </c>
      <c r="D313">
        <f t="shared" si="99"/>
        <v>20</v>
      </c>
      <c r="E313">
        <f t="shared" si="98"/>
        <v>0.05</v>
      </c>
    </row>
    <row r="314" spans="1:5" ht="12.75">
      <c r="A314">
        <f t="shared" si="93"/>
        <v>1982</v>
      </c>
      <c r="B314" s="712">
        <f t="shared" si="96"/>
        <v>0.04</v>
      </c>
      <c r="C314" s="734">
        <f t="shared" si="97"/>
        <v>63825.53600188957</v>
      </c>
      <c r="D314">
        <f t="shared" si="99"/>
        <v>20</v>
      </c>
      <c r="E314">
        <f t="shared" si="98"/>
        <v>0.05</v>
      </c>
    </row>
    <row r="315" spans="1:5" ht="12.75">
      <c r="A315">
        <f t="shared" si="93"/>
        <v>1981</v>
      </c>
      <c r="B315" s="712">
        <f t="shared" si="96"/>
        <v>0.04</v>
      </c>
      <c r="C315" s="734">
        <f t="shared" si="97"/>
        <v>63825.53600188957</v>
      </c>
      <c r="D315">
        <f t="shared" si="99"/>
        <v>20</v>
      </c>
      <c r="E315">
        <f t="shared" si="98"/>
        <v>0.05</v>
      </c>
    </row>
    <row r="316" spans="1:5" ht="12.75">
      <c r="A316">
        <f t="shared" si="93"/>
        <v>1980</v>
      </c>
      <c r="B316" s="712">
        <f t="shared" si="96"/>
        <v>0.04</v>
      </c>
      <c r="C316" s="734">
        <f t="shared" si="97"/>
        <v>63825.53600188957</v>
      </c>
      <c r="D316">
        <f t="shared" si="99"/>
        <v>20</v>
      </c>
      <c r="E316">
        <f t="shared" si="98"/>
        <v>0.05</v>
      </c>
    </row>
    <row r="320" spans="1:19" ht="12.75">
      <c r="A320" t="s">
        <v>458</v>
      </c>
      <c r="O320" t="s">
        <v>477</v>
      </c>
      <c r="P320" t="s">
        <v>519</v>
      </c>
      <c r="R320" t="s">
        <v>509</v>
      </c>
      <c r="S320" t="s">
        <v>515</v>
      </c>
    </row>
    <row r="321" spans="1:19" ht="12.75">
      <c r="A321">
        <v>2030</v>
      </c>
      <c r="B321" s="712">
        <f>Input!D49</f>
        <v>0.05</v>
      </c>
      <c r="C321" s="734">
        <f>B321*Input!C9</f>
        <v>139296.46290272192</v>
      </c>
      <c r="D321">
        <f>Input!E$4*(1+Input!F189)</f>
        <v>65</v>
      </c>
      <c r="E321" s="738">
        <f>1/D321</f>
        <v>0.015384615384615385</v>
      </c>
      <c r="O321" s="744">
        <f aca="true" t="shared" si="100" ref="O321:O351">SUMPRODUCT($K$3:$K$33,$J$3:$J$33,C321:C351)</f>
        <v>18881508438.588787</v>
      </c>
      <c r="P321" s="734">
        <f aca="true" t="shared" si="101" ref="P321:P351">SUMPRODUCT(C321:C351,J$3:J$33)</f>
        <v>1623850.3931130404</v>
      </c>
      <c r="R321" s="712">
        <f>O321/Y3</f>
        <v>0.04626185040142846</v>
      </c>
      <c r="S321" s="712">
        <f>P321/V3</f>
        <v>0.0411375040390344</v>
      </c>
    </row>
    <row r="322" spans="1:19" ht="12.75">
      <c r="A322">
        <f>A321-1</f>
        <v>2029</v>
      </c>
      <c r="B322" s="712">
        <f aca="true" t="shared" si="102" ref="B322:B329">B323+(B$321-B$331)/(A$321-A$331)</f>
        <v>0.05</v>
      </c>
      <c r="C322" s="734">
        <f>B322*Input!C10</f>
        <v>137513.07220183543</v>
      </c>
      <c r="D322">
        <f>($D$33+(($D$3-$D$33)/($A$3-$A$33))*(A322-$A$33))*(1+Input!F$4)</f>
        <v>84.15</v>
      </c>
      <c r="E322" s="738">
        <f aca="true" t="shared" si="103" ref="E322:E351">1/D322</f>
        <v>0.011883541295306001</v>
      </c>
      <c r="O322" s="744">
        <f t="shared" si="100"/>
        <v>18157913705.07667</v>
      </c>
      <c r="P322" s="734">
        <f t="shared" si="101"/>
        <v>1546017.5289137613</v>
      </c>
      <c r="R322" s="712">
        <f aca="true" t="shared" si="104" ref="R322:R351">O322/Y4</f>
        <v>0.04516966271907211</v>
      </c>
      <c r="S322" s="712">
        <f aca="true" t="shared" si="105" ref="S322:S351">P322/V4</f>
        <v>0.039773919532118056</v>
      </c>
    </row>
    <row r="323" spans="1:19" ht="12.75">
      <c r="A323">
        <f aca="true" t="shared" si="106" ref="A323:A381">A322-1</f>
        <v>2028</v>
      </c>
      <c r="B323" s="712">
        <f t="shared" si="102"/>
        <v>0.05</v>
      </c>
      <c r="C323" s="734">
        <f>B323*Input!C11</f>
        <v>135729.68150094894</v>
      </c>
      <c r="D323">
        <f>($D$33+(($D$3-$D$33)/($A$3-$A$33))*(A323-$A$33))*(1+Input!F$4)</f>
        <v>82.5</v>
      </c>
      <c r="E323" s="738">
        <f t="shared" si="103"/>
        <v>0.012121212121212121</v>
      </c>
      <c r="O323" s="744">
        <f t="shared" si="100"/>
        <v>17360689895.63889</v>
      </c>
      <c r="P323" s="734">
        <f t="shared" si="101"/>
        <v>1463815.330475952</v>
      </c>
      <c r="R323" s="712">
        <f t="shared" si="104"/>
        <v>0.04385282769980299</v>
      </c>
      <c r="S323" s="712">
        <f t="shared" si="105"/>
        <v>0.03824538858558292</v>
      </c>
    </row>
    <row r="324" spans="1:19" ht="12.75">
      <c r="A324">
        <f t="shared" si="106"/>
        <v>2027</v>
      </c>
      <c r="B324" s="712">
        <f t="shared" si="102"/>
        <v>0.05</v>
      </c>
      <c r="C324" s="734">
        <f>B324*Input!C12</f>
        <v>133946.29080006175</v>
      </c>
      <c r="D324">
        <f>($D$33+(($D$3-$D$33)/($A$3-$A$33))*(A324-$A$33))*(1+Input!F$4)</f>
        <v>80.85000000000001</v>
      </c>
      <c r="E324" s="738">
        <f t="shared" si="103"/>
        <v>0.012368583797155224</v>
      </c>
      <c r="O324" s="744">
        <f t="shared" si="100"/>
        <v>16487553253.044342</v>
      </c>
      <c r="P324" s="734">
        <f t="shared" si="101"/>
        <v>1377321.247812478</v>
      </c>
      <c r="R324" s="712">
        <f t="shared" si="104"/>
        <v>0.04229372597601698</v>
      </c>
      <c r="S324" s="712">
        <f t="shared" si="105"/>
        <v>0.0365463182326521</v>
      </c>
    </row>
    <row r="325" spans="1:19" ht="12.75">
      <c r="A325">
        <f t="shared" si="106"/>
        <v>2026</v>
      </c>
      <c r="B325" s="712">
        <f t="shared" si="102"/>
        <v>0.05</v>
      </c>
      <c r="C325" s="734">
        <f>B325*Input!C13</f>
        <v>132162.90009917525</v>
      </c>
      <c r="D325">
        <f>($D$33+(($D$3-$D$33)/($A$3-$A$33))*(A325-$A$33))*(1+Input!F$4)</f>
        <v>79.2</v>
      </c>
      <c r="E325" s="738">
        <f t="shared" si="103"/>
        <v>0.012626262626262626</v>
      </c>
      <c r="O325" s="744">
        <f t="shared" si="100"/>
        <v>15537966844.558317</v>
      </c>
      <c r="P325" s="734">
        <f t="shared" si="101"/>
        <v>1286698.0599064236</v>
      </c>
      <c r="R325" s="712">
        <f t="shared" si="104"/>
        <v>0.04047845953597911</v>
      </c>
      <c r="S325" s="712">
        <f t="shared" si="105"/>
        <v>0.03467347390568637</v>
      </c>
    </row>
    <row r="326" spans="1:19" ht="12.75">
      <c r="A326">
        <f t="shared" si="106"/>
        <v>2025</v>
      </c>
      <c r="B326" s="712">
        <f t="shared" si="102"/>
        <v>0.05</v>
      </c>
      <c r="C326" s="734">
        <f>B326*Input!C14</f>
        <v>130379.50939828873</v>
      </c>
      <c r="D326">
        <f>($D$33+(($D$3-$D$33)/($A$3-$A$33))*(A326-$A$33))*(1+Input!F$4)</f>
        <v>77.55</v>
      </c>
      <c r="E326" s="738">
        <f t="shared" si="103"/>
        <v>0.01289490651192779</v>
      </c>
      <c r="O326" s="744">
        <f t="shared" si="100"/>
        <v>14513313012.768032</v>
      </c>
      <c r="P326" s="734">
        <f t="shared" si="101"/>
        <v>1192208.0392994096</v>
      </c>
      <c r="R326" s="712">
        <f t="shared" si="104"/>
        <v>0.03839872579712723</v>
      </c>
      <c r="S326" s="712">
        <f t="shared" si="105"/>
        <v>0.03262749383303901</v>
      </c>
    </row>
    <row r="327" spans="1:19" ht="12.75">
      <c r="A327">
        <f t="shared" si="106"/>
        <v>2024</v>
      </c>
      <c r="B327" s="712">
        <f t="shared" si="102"/>
        <v>0.05</v>
      </c>
      <c r="C327" s="734">
        <f>B327*Input!C15</f>
        <v>128596.1186974023</v>
      </c>
      <c r="D327">
        <f>($D$33+(($D$3-$D$33)/($A$3-$A$33))*(A327-$A$33))*(1+Input!F$4)</f>
        <v>75.9</v>
      </c>
      <c r="E327" s="738">
        <f t="shared" si="103"/>
        <v>0.013175230566534914</v>
      </c>
      <c r="O327" s="744">
        <f t="shared" si="100"/>
        <v>13416964107.641844</v>
      </c>
      <c r="P327" s="734">
        <f t="shared" si="101"/>
        <v>1094212.6918651224</v>
      </c>
      <c r="R327" s="712">
        <f t="shared" si="104"/>
        <v>0.03605139081741729</v>
      </c>
      <c r="S327" s="712">
        <f t="shared" si="105"/>
        <v>0.03041004118352453</v>
      </c>
    </row>
    <row r="328" spans="1:19" ht="12.75">
      <c r="A328">
        <f t="shared" si="106"/>
        <v>2023</v>
      </c>
      <c r="B328" s="712">
        <f t="shared" si="102"/>
        <v>0.05</v>
      </c>
      <c r="C328" s="734">
        <f>B328*Input!C16</f>
        <v>126812.72799651576</v>
      </c>
      <c r="D328">
        <f>($D$33+(($D$3-$D$33)/($A$3-$A$33))*(A328-$A$33))*(1+Input!F$4)</f>
        <v>74.25</v>
      </c>
      <c r="E328" s="738">
        <f t="shared" si="103"/>
        <v>0.013468013468013467</v>
      </c>
      <c r="O328" s="744">
        <f t="shared" si="100"/>
        <v>12254329501.812563</v>
      </c>
      <c r="P328" s="734">
        <f t="shared" si="101"/>
        <v>993181.0107883596</v>
      </c>
      <c r="R328" s="712">
        <f t="shared" si="104"/>
        <v>0.033440230463904486</v>
      </c>
      <c r="S328" s="712">
        <f t="shared" si="105"/>
        <v>0.028028518612431944</v>
      </c>
    </row>
    <row r="329" spans="1:19" ht="12.75">
      <c r="A329">
        <f t="shared" si="106"/>
        <v>2022</v>
      </c>
      <c r="B329" s="712">
        <f t="shared" si="102"/>
        <v>0.05</v>
      </c>
      <c r="C329" s="734">
        <f>B329*Input!C17</f>
        <v>125029.33729562932</v>
      </c>
      <c r="D329">
        <f>($D$33+(($D$3-$D$33)/($A$3-$A$33))*(A329-$A$33))*(1+Input!F$4)</f>
        <v>72.60000000000001</v>
      </c>
      <c r="E329" s="738">
        <f t="shared" si="103"/>
        <v>0.013774104683195591</v>
      </c>
      <c r="O329" s="744">
        <f t="shared" si="100"/>
        <v>11032544514.581179</v>
      </c>
      <c r="P329" s="734">
        <f t="shared" si="101"/>
        <v>889627.9285837731</v>
      </c>
      <c r="R329" s="712">
        <f t="shared" si="104"/>
        <v>0.030574421594686693</v>
      </c>
      <c r="S329" s="712">
        <f t="shared" si="105"/>
        <v>0.02549373208524029</v>
      </c>
    </row>
    <row r="330" spans="1:19" ht="12.75">
      <c r="A330">
        <f t="shared" si="106"/>
        <v>2021</v>
      </c>
      <c r="B330" s="712">
        <f>B331+(B$321-B$331)/(A$321-A$331)</f>
        <v>0.05</v>
      </c>
      <c r="C330" s="734">
        <f>B330*Input!C18</f>
        <v>123245.94659474283</v>
      </c>
      <c r="D330">
        <f>($D$33+(($D$3-$D$33)/($A$3-$A$33))*(A330-$A$33))*(1+Input!F$4)</f>
        <v>70.95</v>
      </c>
      <c r="E330" s="738">
        <f t="shared" si="103"/>
        <v>0.01409443269908386</v>
      </c>
      <c r="O330" s="744">
        <f t="shared" si="100"/>
        <v>9759356129.886295</v>
      </c>
      <c r="P330" s="734">
        <f t="shared" si="101"/>
        <v>784023.0685204882</v>
      </c>
      <c r="R330" s="712">
        <f t="shared" si="104"/>
        <v>0.027466647904841702</v>
      </c>
      <c r="S330" s="712">
        <f t="shared" si="105"/>
        <v>0.02281458477391771</v>
      </c>
    </row>
    <row r="331" spans="1:19" ht="12.75">
      <c r="A331">
        <f t="shared" si="106"/>
        <v>2020</v>
      </c>
      <c r="B331" s="712">
        <f>Input!C49</f>
        <v>0.05</v>
      </c>
      <c r="C331" s="734">
        <f>B331*Input!C19</f>
        <v>116134.91480594981</v>
      </c>
      <c r="D331">
        <f>($D$33+(($D$3-$D$33)/($A$3-$A$33))*(A331-$A$33))*(1+Input!F$4)</f>
        <v>69.3</v>
      </c>
      <c r="E331" s="738">
        <f t="shared" si="103"/>
        <v>0.01443001443001443</v>
      </c>
      <c r="O331" s="744">
        <f t="shared" si="100"/>
        <v>8449987956.903176</v>
      </c>
      <c r="P331" s="734">
        <f t="shared" si="101"/>
        <v>676695.4605602733</v>
      </c>
      <c r="R331" s="712">
        <f t="shared" si="104"/>
        <v>0.024141086779487928</v>
      </c>
      <c r="S331" s="712">
        <f t="shared" si="105"/>
        <v>0.019997016981457505</v>
      </c>
    </row>
    <row r="332" spans="1:19" ht="12.75">
      <c r="A332">
        <f t="shared" si="106"/>
        <v>2019</v>
      </c>
      <c r="B332" s="712">
        <f aca="true" t="shared" si="107" ref="B332:B341">B333+($B$331-$B$343)/($A$331-$A$343)</f>
        <v>0.04583333333333333</v>
      </c>
      <c r="C332" s="734">
        <f>B332*Input!C20</f>
        <v>105611.3749594867</v>
      </c>
      <c r="D332">
        <f>($D$33+(($D$3-$D$33)/($A$3-$A$33))*(A332-$A$33))*(1+Input!F$4)</f>
        <v>67.65</v>
      </c>
      <c r="E332" s="738">
        <f t="shared" si="103"/>
        <v>0.014781966001478195</v>
      </c>
      <c r="O332" s="744">
        <f t="shared" si="100"/>
        <v>7179704508.831889</v>
      </c>
      <c r="P332" s="734">
        <f t="shared" si="101"/>
        <v>573405.9513976356</v>
      </c>
      <c r="R332" s="712">
        <f t="shared" si="104"/>
        <v>0.020748659984757726</v>
      </c>
      <c r="S332" s="712">
        <f t="shared" si="105"/>
        <v>0.017152534862372167</v>
      </c>
    </row>
    <row r="333" spans="1:19" ht="12.75">
      <c r="A333">
        <f t="shared" si="106"/>
        <v>2018</v>
      </c>
      <c r="B333" s="712">
        <f t="shared" si="107"/>
        <v>0.041666666666666664</v>
      </c>
      <c r="C333" s="734">
        <f>B333*Input!C21</f>
        <v>95005.25047967033</v>
      </c>
      <c r="D333">
        <f>($D$33+(($D$3-$D$33)/($A$3-$A$33))*(A333-$A$33))*(1+Input!F$4)</f>
        <v>66</v>
      </c>
      <c r="E333" s="738">
        <f t="shared" si="103"/>
        <v>0.015151515151515152</v>
      </c>
      <c r="O333" s="744">
        <f t="shared" si="100"/>
        <v>5996934381.836562</v>
      </c>
      <c r="P333" s="734">
        <f t="shared" si="101"/>
        <v>478010.755569967</v>
      </c>
      <c r="R333" s="712">
        <f t="shared" si="104"/>
        <v>0.017539755579789904</v>
      </c>
      <c r="S333" s="712">
        <f t="shared" si="105"/>
        <v>0.014480415460780832</v>
      </c>
    </row>
    <row r="334" spans="1:19" ht="12.75">
      <c r="A334">
        <f t="shared" si="106"/>
        <v>2017</v>
      </c>
      <c r="B334" s="712">
        <f t="shared" si="107"/>
        <v>0.0375</v>
      </c>
      <c r="C334" s="734">
        <f>B334*Input!C22</f>
        <v>84609.61374611083</v>
      </c>
      <c r="D334">
        <f>($D$33+(($D$3-$D$33)/($A$3-$A$33))*(A334-$A$33))*(1+Input!F$4)</f>
        <v>64.35000000000001</v>
      </c>
      <c r="E334" s="738">
        <f t="shared" si="103"/>
        <v>0.015540015540015538</v>
      </c>
      <c r="O334" s="744">
        <f t="shared" si="100"/>
        <v>4910732840.443238</v>
      </c>
      <c r="P334" s="734">
        <f t="shared" si="101"/>
        <v>391004.14135029033</v>
      </c>
      <c r="R334" s="712">
        <f t="shared" si="104"/>
        <v>0.014542114720555072</v>
      </c>
      <c r="S334" s="712">
        <f t="shared" si="105"/>
        <v>0.011998498463304936</v>
      </c>
    </row>
    <row r="335" spans="1:19" ht="12.75">
      <c r="A335">
        <f t="shared" si="106"/>
        <v>2016</v>
      </c>
      <c r="B335" s="712">
        <f t="shared" si="107"/>
        <v>0.03333333333333333</v>
      </c>
      <c r="C335" s="734">
        <f>B335*Input!C23</f>
        <v>74421.22008394216</v>
      </c>
      <c r="D335">
        <f>($D$33+(($D$3-$D$33)/($A$3-$A$33))*(A335-$A$33))*(1+Input!F$4)</f>
        <v>62.7</v>
      </c>
      <c r="E335" s="738">
        <f t="shared" si="103"/>
        <v>0.01594896331738437</v>
      </c>
      <c r="O335" s="744">
        <f t="shared" si="100"/>
        <v>3926062901.0682964</v>
      </c>
      <c r="P335" s="734">
        <f t="shared" si="101"/>
        <v>312558.50457030407</v>
      </c>
      <c r="R335" s="712">
        <f t="shared" si="104"/>
        <v>0.011777470571259043</v>
      </c>
      <c r="S335" s="712">
        <f t="shared" si="105"/>
        <v>0.009719344526614925</v>
      </c>
    </row>
    <row r="336" spans="1:19" ht="12.75">
      <c r="A336">
        <f t="shared" si="106"/>
        <v>2015</v>
      </c>
      <c r="B336" s="712">
        <f t="shared" si="107"/>
        <v>0.029166666666666664</v>
      </c>
      <c r="C336" s="734">
        <f>B336*Input!C24</f>
        <v>64436.86968494383</v>
      </c>
      <c r="D336">
        <f>($D$33+(($D$3-$D$33)/($A$3-$A$33))*(A336-$A$33))*(1+Input!F$4)</f>
        <v>61.050000000000004</v>
      </c>
      <c r="E336" s="738">
        <f t="shared" si="103"/>
        <v>0.01638001638001638</v>
      </c>
      <c r="O336" s="744">
        <f t="shared" si="100"/>
        <v>3046884792.8215656</v>
      </c>
      <c r="P336" s="734">
        <f t="shared" si="101"/>
        <v>242797.8705503953</v>
      </c>
      <c r="R336" s="712">
        <f t="shared" si="104"/>
        <v>0.00926478091402472</v>
      </c>
      <c r="S336" s="712">
        <f t="shared" si="105"/>
        <v>0.007653824202086286</v>
      </c>
    </row>
    <row r="337" spans="1:19" ht="12.75">
      <c r="A337">
        <f t="shared" si="106"/>
        <v>2014</v>
      </c>
      <c r="B337" s="712">
        <f t="shared" si="107"/>
        <v>0.024999999999999998</v>
      </c>
      <c r="C337" s="734">
        <f>B337*Input!C25</f>
        <v>54653.40702374895</v>
      </c>
      <c r="D337">
        <f>($D$33+(($D$3-$D$33)/($A$3-$A$33))*(A337-$A$33))*(1+Input!F$4)</f>
        <v>59.400000000000006</v>
      </c>
      <c r="E337" s="738">
        <f t="shared" si="103"/>
        <v>0.016835016835016835</v>
      </c>
      <c r="O337" s="744">
        <f t="shared" si="100"/>
        <v>2276335614.546959</v>
      </c>
      <c r="P337" s="734">
        <f t="shared" si="101"/>
        <v>181813.79542402196</v>
      </c>
      <c r="R337" s="712">
        <f t="shared" si="104"/>
        <v>0.007020523867882401</v>
      </c>
      <c r="S337" s="712">
        <f t="shared" si="105"/>
        <v>0.005811861757332763</v>
      </c>
    </row>
    <row r="338" spans="1:19" ht="12.75">
      <c r="A338">
        <f t="shared" si="106"/>
        <v>2013</v>
      </c>
      <c r="B338" s="712">
        <f t="shared" si="107"/>
        <v>0.020833333333333332</v>
      </c>
      <c r="C338" s="734">
        <f>B338*Input!C26</f>
        <v>45067.72028135794</v>
      </c>
      <c r="D338">
        <f>($D$33+(($D$3-$D$33)/($A$3-$A$33))*(A338-$A$33))*(1+Input!F$4)</f>
        <v>57.75</v>
      </c>
      <c r="E338" s="738">
        <f t="shared" si="103"/>
        <v>0.017316017316017316</v>
      </c>
      <c r="O338" s="744">
        <f t="shared" si="100"/>
        <v>1616474231.936437</v>
      </c>
      <c r="P338" s="734">
        <f t="shared" si="101"/>
        <v>129642.56067946072</v>
      </c>
      <c r="R338" s="712">
        <f t="shared" si="104"/>
        <v>0.005059731500398652</v>
      </c>
      <c r="S338" s="712">
        <f t="shared" si="105"/>
        <v>0.004203371272652394</v>
      </c>
    </row>
    <row r="339" spans="1:19" ht="12.75">
      <c r="A339">
        <f t="shared" si="106"/>
        <v>2012</v>
      </c>
      <c r="B339" s="712">
        <f t="shared" si="107"/>
        <v>0.016666666666666666</v>
      </c>
      <c r="C339" s="734">
        <f>B339*Input!C27</f>
        <v>35676.740775869424</v>
      </c>
      <c r="D339">
        <f>($D$33+(($D$3-$D$33)/($A$3-$A$33))*(A339-$A$33))*(1+Input!F$4)</f>
        <v>56.1</v>
      </c>
      <c r="E339" s="738">
        <f t="shared" si="103"/>
        <v>0.017825311942959002</v>
      </c>
      <c r="O339" s="744">
        <f t="shared" si="100"/>
        <v>1068532976.3855901</v>
      </c>
      <c r="P339" s="734">
        <f t="shared" si="101"/>
        <v>86282.24803947768</v>
      </c>
      <c r="R339" s="712">
        <f t="shared" si="104"/>
        <v>0.003396628067661409</v>
      </c>
      <c r="S339" s="712">
        <f t="shared" si="105"/>
        <v>0.0028381324876973614</v>
      </c>
    </row>
    <row r="340" spans="1:19" ht="12.75">
      <c r="A340">
        <f t="shared" si="106"/>
        <v>2011</v>
      </c>
      <c r="B340" s="712">
        <f t="shared" si="107"/>
        <v>0.0125</v>
      </c>
      <c r="C340" s="734">
        <f>B340*Input!C28</f>
        <v>26477.442400340184</v>
      </c>
      <c r="D340">
        <f>($D$33+(($D$3-$D$33)/($A$3-$A$33))*(A340-$A$33))*(1+Input!F$4)</f>
        <v>54.45</v>
      </c>
      <c r="E340" s="738">
        <f t="shared" si="103"/>
        <v>0.018365472910927456</v>
      </c>
      <c r="O340" s="744">
        <f t="shared" si="100"/>
        <v>633004586.8589928</v>
      </c>
      <c r="P340" s="734">
        <f t="shared" si="101"/>
        <v>51695.53848228179</v>
      </c>
      <c r="R340" s="712">
        <f t="shared" si="104"/>
        <v>0.002044511560457758</v>
      </c>
      <c r="S340" s="712">
        <f t="shared" si="105"/>
        <v>0.0017253320922124844</v>
      </c>
    </row>
    <row r="341" spans="1:19" ht="12.75">
      <c r="A341">
        <f t="shared" si="106"/>
        <v>2010</v>
      </c>
      <c r="B341" s="712">
        <f t="shared" si="107"/>
        <v>0.008333333333333333</v>
      </c>
      <c r="C341" s="734">
        <f>B341*Input!C29</f>
        <v>17466.84106768712</v>
      </c>
      <c r="D341">
        <f>($D$33+(($D$3-$D$33)/($A$3-$A$33))*(A341-$A$33))*(1+Input!F$4)</f>
        <v>52.800000000000004</v>
      </c>
      <c r="E341" s="738">
        <f t="shared" si="103"/>
        <v>0.018939393939393936</v>
      </c>
      <c r="O341" s="744">
        <f t="shared" si="100"/>
        <v>309999584.2221222</v>
      </c>
      <c r="P341" s="734">
        <f t="shared" si="101"/>
        <v>25833.489801927684</v>
      </c>
      <c r="R341" s="712">
        <f t="shared" si="104"/>
        <v>0.001017785649926861</v>
      </c>
      <c r="S341" s="712">
        <f t="shared" si="105"/>
        <v>0.0008748549476968847</v>
      </c>
    </row>
    <row r="342" spans="1:19" ht="12.75">
      <c r="A342">
        <f t="shared" si="106"/>
        <v>2009</v>
      </c>
      <c r="B342" s="712">
        <f>B343+($B$331-$B$343)/($A$331-$A$343)</f>
        <v>0.004166666666666667</v>
      </c>
      <c r="C342" s="734">
        <f>B342*Input!C30</f>
        <v>8606.777835861089</v>
      </c>
      <c r="D342">
        <f>($D$33+(($D$3-$D$33)/($A$3-$A$33))*(A342-$A$33))*(1+Input!F$4)</f>
        <v>51.150000000000006</v>
      </c>
      <c r="E342" s="738">
        <f t="shared" si="103"/>
        <v>0.01955034213098729</v>
      </c>
      <c r="O342" s="744">
        <f t="shared" si="100"/>
        <v>98977945.11240251</v>
      </c>
      <c r="P342" s="734">
        <f t="shared" si="101"/>
        <v>8606.777835861089</v>
      </c>
      <c r="R342" s="712">
        <f t="shared" si="104"/>
        <v>0.00033043125995400494</v>
      </c>
      <c r="S342" s="712">
        <f t="shared" si="105"/>
        <v>0.00029575341351950835</v>
      </c>
    </row>
    <row r="343" spans="1:19" ht="12.75">
      <c r="A343">
        <f t="shared" si="106"/>
        <v>2008</v>
      </c>
      <c r="B343" s="712">
        <f>Input!B230</f>
        <v>0</v>
      </c>
      <c r="C343" s="734">
        <f>B343*Input!C31</f>
        <v>0</v>
      </c>
      <c r="D343">
        <f>($D$33+(($D$3-$D$33)/($A$3-$A$33))*(A343-$A$33))*(1+Input!F$4)</f>
        <v>49.5</v>
      </c>
      <c r="E343" s="738">
        <f t="shared" si="103"/>
        <v>0.020202020202020204</v>
      </c>
      <c r="O343" s="744">
        <f t="shared" si="100"/>
        <v>0</v>
      </c>
      <c r="P343" s="734">
        <f t="shared" si="101"/>
        <v>0</v>
      </c>
      <c r="R343" s="712">
        <f t="shared" si="104"/>
        <v>0</v>
      </c>
      <c r="S343" s="712">
        <f t="shared" si="105"/>
        <v>0</v>
      </c>
    </row>
    <row r="344" spans="1:19" ht="12.75">
      <c r="A344">
        <f t="shared" si="106"/>
        <v>2007</v>
      </c>
      <c r="B344" s="712">
        <v>0</v>
      </c>
      <c r="C344" s="734">
        <f>B344*Input!C32</f>
        <v>0</v>
      </c>
      <c r="D344">
        <f>($D$33+(($D$3-$D$33)/($A$3-$A$33))*(A344-$A$33))*(1+Input!F$4)</f>
        <v>47.85</v>
      </c>
      <c r="E344" s="738">
        <f t="shared" si="103"/>
        <v>0.02089864158829676</v>
      </c>
      <c r="O344" s="744">
        <f t="shared" si="100"/>
        <v>0</v>
      </c>
      <c r="P344" s="734">
        <f t="shared" si="101"/>
        <v>0</v>
      </c>
      <c r="R344" s="712">
        <f t="shared" si="104"/>
        <v>0</v>
      </c>
      <c r="S344" s="712">
        <f t="shared" si="105"/>
        <v>0</v>
      </c>
    </row>
    <row r="345" spans="1:19" ht="12.75">
      <c r="A345">
        <f t="shared" si="106"/>
        <v>2006</v>
      </c>
      <c r="B345" s="712">
        <v>0</v>
      </c>
      <c r="C345" s="734">
        <f>B345*Input!C33</f>
        <v>0</v>
      </c>
      <c r="D345">
        <f>($D$33+(($D$3-$D$33)/($A$3-$A$33))*(A345-$A$33))*(1+Input!F$4)</f>
        <v>46.2</v>
      </c>
      <c r="E345" s="738">
        <f t="shared" si="103"/>
        <v>0.021645021645021644</v>
      </c>
      <c r="O345" s="744">
        <f t="shared" si="100"/>
        <v>0</v>
      </c>
      <c r="P345" s="734">
        <f t="shared" si="101"/>
        <v>0</v>
      </c>
      <c r="R345" s="712">
        <f t="shared" si="104"/>
        <v>0</v>
      </c>
      <c r="S345" s="712">
        <f t="shared" si="105"/>
        <v>0</v>
      </c>
    </row>
    <row r="346" spans="1:19" ht="12.75">
      <c r="A346">
        <f t="shared" si="106"/>
        <v>2005</v>
      </c>
      <c r="B346" s="712">
        <v>0</v>
      </c>
      <c r="C346" s="734">
        <f>B346*Input!C34</f>
        <v>0</v>
      </c>
      <c r="D346">
        <f>($D$33+(($D$3-$D$33)/($A$3-$A$33))*(A346-$A$33))*(1+Input!F$4)</f>
        <v>44.550000000000004</v>
      </c>
      <c r="E346" s="738">
        <f t="shared" si="103"/>
        <v>0.02244668911335578</v>
      </c>
      <c r="O346" s="744">
        <f t="shared" si="100"/>
        <v>0</v>
      </c>
      <c r="P346" s="734">
        <f t="shared" si="101"/>
        <v>0</v>
      </c>
      <c r="R346" s="712">
        <f t="shared" si="104"/>
        <v>0</v>
      </c>
      <c r="S346" s="712">
        <f t="shared" si="105"/>
        <v>0</v>
      </c>
    </row>
    <row r="347" spans="1:19" ht="12.75">
      <c r="A347">
        <f t="shared" si="106"/>
        <v>2004</v>
      </c>
      <c r="B347" s="712">
        <v>0</v>
      </c>
      <c r="C347" s="734">
        <f>B347*Input!C35</f>
        <v>0</v>
      </c>
      <c r="D347">
        <f>($D$33+(($D$3-$D$33)/($A$3-$A$33))*(A347-$A$33))*(1+Input!F$4)</f>
        <v>42.9</v>
      </c>
      <c r="E347" s="738">
        <f t="shared" si="103"/>
        <v>0.023310023310023312</v>
      </c>
      <c r="O347" s="744">
        <f t="shared" si="100"/>
        <v>0</v>
      </c>
      <c r="P347" s="734">
        <f t="shared" si="101"/>
        <v>0</v>
      </c>
      <c r="R347" s="712">
        <f t="shared" si="104"/>
        <v>0</v>
      </c>
      <c r="S347" s="712">
        <f t="shared" si="105"/>
        <v>0</v>
      </c>
    </row>
    <row r="348" spans="1:19" ht="12.75">
      <c r="A348">
        <f t="shared" si="106"/>
        <v>2003</v>
      </c>
      <c r="B348" s="712">
        <v>0</v>
      </c>
      <c r="C348" s="734">
        <f>B348*Input!C36</f>
        <v>0</v>
      </c>
      <c r="D348">
        <f>($D$33+(($D$3-$D$33)/($A$3-$A$33))*(A348-$A$33))*(1+Input!F$4)</f>
        <v>41.25</v>
      </c>
      <c r="E348" s="738">
        <f t="shared" si="103"/>
        <v>0.024242424242424242</v>
      </c>
      <c r="O348" s="744">
        <f t="shared" si="100"/>
        <v>0</v>
      </c>
      <c r="P348" s="734">
        <f t="shared" si="101"/>
        <v>0</v>
      </c>
      <c r="R348" s="712">
        <f t="shared" si="104"/>
        <v>0</v>
      </c>
      <c r="S348" s="712">
        <f t="shared" si="105"/>
        <v>0</v>
      </c>
    </row>
    <row r="349" spans="1:19" ht="12.75">
      <c r="A349">
        <f t="shared" si="106"/>
        <v>2002</v>
      </c>
      <c r="B349" s="712">
        <v>0</v>
      </c>
      <c r="C349" s="734">
        <f>B349*Input!C37</f>
        <v>0</v>
      </c>
      <c r="D349">
        <f>($D$33+(($D$3-$D$33)/($A$3-$A$33))*(A349-$A$33))*(1+Input!F$4)</f>
        <v>39.6</v>
      </c>
      <c r="E349" s="738">
        <f t="shared" si="103"/>
        <v>0.025252525252525252</v>
      </c>
      <c r="O349" s="744">
        <f t="shared" si="100"/>
        <v>0</v>
      </c>
      <c r="P349" s="734">
        <f t="shared" si="101"/>
        <v>0</v>
      </c>
      <c r="R349" s="712">
        <f t="shared" si="104"/>
        <v>0</v>
      </c>
      <c r="S349" s="712">
        <f t="shared" si="105"/>
        <v>0</v>
      </c>
    </row>
    <row r="350" spans="1:19" ht="12.75">
      <c r="A350">
        <f t="shared" si="106"/>
        <v>2001</v>
      </c>
      <c r="B350" s="712">
        <v>0</v>
      </c>
      <c r="C350" s="734">
        <f>B350*Input!C38</f>
        <v>0</v>
      </c>
      <c r="D350">
        <f>($D$33+(($D$3-$D$33)/($A$3-$A$33))*(A350-$A$33))*(1+Input!F$4)</f>
        <v>37.95</v>
      </c>
      <c r="E350" s="738">
        <f t="shared" si="103"/>
        <v>0.026350461133069828</v>
      </c>
      <c r="O350" s="744">
        <f t="shared" si="100"/>
        <v>0</v>
      </c>
      <c r="P350" s="734">
        <f t="shared" si="101"/>
        <v>0</v>
      </c>
      <c r="R350" s="712">
        <f t="shared" si="104"/>
        <v>0</v>
      </c>
      <c r="S350" s="712">
        <f t="shared" si="105"/>
        <v>0</v>
      </c>
    </row>
    <row r="351" spans="1:19" ht="12.75">
      <c r="A351">
        <f t="shared" si="106"/>
        <v>2000</v>
      </c>
      <c r="B351" s="712">
        <v>0</v>
      </c>
      <c r="C351" s="734">
        <f>B351*Input!C39</f>
        <v>0</v>
      </c>
      <c r="D351">
        <f>Input!E$5*(1+Input!F$4)</f>
        <v>36.300000000000004</v>
      </c>
      <c r="E351" s="738">
        <f t="shared" si="103"/>
        <v>0.027548209366391182</v>
      </c>
      <c r="O351" s="744">
        <f t="shared" si="100"/>
        <v>0</v>
      </c>
      <c r="P351" s="734">
        <f t="shared" si="101"/>
        <v>0</v>
      </c>
      <c r="R351" s="712">
        <f t="shared" si="104"/>
        <v>0</v>
      </c>
      <c r="S351" s="712">
        <f t="shared" si="105"/>
        <v>0</v>
      </c>
    </row>
    <row r="352" spans="1:19" ht="12.75">
      <c r="A352">
        <f t="shared" si="106"/>
        <v>1999</v>
      </c>
      <c r="B352" s="712">
        <v>0</v>
      </c>
      <c r="C352" s="734">
        <f>B352*Input!C40</f>
        <v>0</v>
      </c>
      <c r="E352" s="738"/>
      <c r="O352" s="744"/>
      <c r="P352" s="734"/>
      <c r="R352" s="712"/>
      <c r="S352" s="712"/>
    </row>
    <row r="353" spans="1:19" ht="12.75">
      <c r="A353">
        <f t="shared" si="106"/>
        <v>1998</v>
      </c>
      <c r="B353" s="712">
        <v>0</v>
      </c>
      <c r="C353" s="734">
        <f>B353*Input!C41</f>
        <v>0</v>
      </c>
      <c r="E353" s="738"/>
      <c r="O353" s="744"/>
      <c r="P353" s="734"/>
      <c r="R353" s="712"/>
      <c r="S353" s="712"/>
    </row>
    <row r="354" spans="1:19" ht="12.75">
      <c r="A354">
        <f t="shared" si="106"/>
        <v>1997</v>
      </c>
      <c r="B354" s="712">
        <v>0</v>
      </c>
      <c r="C354" s="734">
        <f>B354*Input!C42</f>
        <v>0</v>
      </c>
      <c r="E354" s="738"/>
      <c r="O354" s="744"/>
      <c r="P354" s="734"/>
      <c r="R354" s="712"/>
      <c r="S354" s="712"/>
    </row>
    <row r="355" spans="1:19" ht="12.75">
      <c r="A355">
        <f t="shared" si="106"/>
        <v>1996</v>
      </c>
      <c r="B355" s="712">
        <v>0</v>
      </c>
      <c r="C355" s="734">
        <f>B355*Input!C43</f>
        <v>0</v>
      </c>
      <c r="E355" s="738"/>
      <c r="O355" s="744"/>
      <c r="P355" s="734"/>
      <c r="R355" s="712"/>
      <c r="S355" s="712"/>
    </row>
    <row r="356" spans="1:19" ht="12.75">
      <c r="A356">
        <f t="shared" si="106"/>
        <v>1995</v>
      </c>
      <c r="B356" s="712">
        <v>0</v>
      </c>
      <c r="C356" s="734">
        <f>B356*Input!C44</f>
        <v>0</v>
      </c>
      <c r="E356" s="738"/>
      <c r="O356" s="744"/>
      <c r="P356" s="734"/>
      <c r="R356" s="712"/>
      <c r="S356" s="712"/>
    </row>
    <row r="357" spans="1:19" ht="12.75">
      <c r="A357">
        <f t="shared" si="106"/>
        <v>1994</v>
      </c>
      <c r="B357" s="712">
        <v>0</v>
      </c>
      <c r="C357" s="734">
        <f>B357*Input!C45</f>
        <v>0</v>
      </c>
      <c r="E357" s="738"/>
      <c r="O357" s="744"/>
      <c r="P357" s="734"/>
      <c r="R357" s="712"/>
      <c r="S357" s="712"/>
    </row>
    <row r="358" spans="1:19" ht="12.75">
      <c r="A358">
        <f t="shared" si="106"/>
        <v>1993</v>
      </c>
      <c r="B358" s="712">
        <v>0</v>
      </c>
      <c r="C358" s="734">
        <f>B358*Input!C46</f>
        <v>0</v>
      </c>
      <c r="E358" s="738"/>
      <c r="O358" s="744"/>
      <c r="P358" s="734"/>
      <c r="R358" s="712"/>
      <c r="S358" s="712"/>
    </row>
    <row r="359" spans="1:19" ht="12.75">
      <c r="A359">
        <f t="shared" si="106"/>
        <v>1992</v>
      </c>
      <c r="B359" s="712">
        <v>0</v>
      </c>
      <c r="C359" s="734">
        <f>B359*Input!C47</f>
        <v>0</v>
      </c>
      <c r="E359" s="738"/>
      <c r="O359" s="744"/>
      <c r="P359" s="734"/>
      <c r="R359" s="712"/>
      <c r="S359" s="712"/>
    </row>
    <row r="360" spans="1:19" ht="12.75">
      <c r="A360">
        <f t="shared" si="106"/>
        <v>1991</v>
      </c>
      <c r="B360" s="712">
        <v>0</v>
      </c>
      <c r="C360" s="734">
        <f>B360*Input!C48</f>
        <v>0</v>
      </c>
      <c r="E360" s="738"/>
      <c r="O360" s="744"/>
      <c r="P360" s="734"/>
      <c r="R360" s="712"/>
      <c r="S360" s="712"/>
    </row>
    <row r="361" spans="1:19" ht="12.75">
      <c r="A361">
        <f t="shared" si="106"/>
        <v>1990</v>
      </c>
      <c r="B361" s="712">
        <v>0</v>
      </c>
      <c r="C361" s="734">
        <f>B361*Input!C49</f>
        <v>0</v>
      </c>
      <c r="E361" s="738"/>
      <c r="O361" s="744"/>
      <c r="P361" s="734"/>
      <c r="R361" s="712"/>
      <c r="S361" s="712"/>
    </row>
    <row r="362" spans="1:19" ht="12.75">
      <c r="A362">
        <f t="shared" si="106"/>
        <v>1989</v>
      </c>
      <c r="B362" s="712">
        <v>0</v>
      </c>
      <c r="C362" s="734">
        <f>B362*Input!C50</f>
        <v>0</v>
      </c>
      <c r="E362" s="738"/>
      <c r="O362" s="744"/>
      <c r="P362" s="734"/>
      <c r="R362" s="712"/>
      <c r="S362" s="712"/>
    </row>
    <row r="363" spans="1:19" ht="12.75">
      <c r="A363">
        <f t="shared" si="106"/>
        <v>1988</v>
      </c>
      <c r="B363" s="712">
        <v>0</v>
      </c>
      <c r="C363" s="734">
        <f>B363*Input!C51</f>
        <v>0</v>
      </c>
      <c r="E363" s="738"/>
      <c r="O363" s="744"/>
      <c r="P363" s="734"/>
      <c r="R363" s="712"/>
      <c r="S363" s="712"/>
    </row>
    <row r="364" spans="1:19" ht="12.75">
      <c r="A364">
        <f t="shared" si="106"/>
        <v>1987</v>
      </c>
      <c r="B364" s="712">
        <v>0</v>
      </c>
      <c r="C364" s="734">
        <f>B364*Input!C52</f>
        <v>0</v>
      </c>
      <c r="E364" s="738"/>
      <c r="O364" s="744"/>
      <c r="P364" s="734"/>
      <c r="R364" s="712"/>
      <c r="S364" s="712"/>
    </row>
    <row r="365" spans="1:19" ht="12.75">
      <c r="A365">
        <f t="shared" si="106"/>
        <v>1986</v>
      </c>
      <c r="B365" s="712">
        <v>0</v>
      </c>
      <c r="C365" s="734">
        <f>B365*Input!C53</f>
        <v>0</v>
      </c>
      <c r="E365" s="738"/>
      <c r="O365" s="744"/>
      <c r="P365" s="734"/>
      <c r="R365" s="712"/>
      <c r="S365" s="712"/>
    </row>
    <row r="366" spans="1:19" ht="12.75">
      <c r="A366">
        <f t="shared" si="106"/>
        <v>1985</v>
      </c>
      <c r="B366" s="712">
        <v>0</v>
      </c>
      <c r="C366" s="734">
        <f>B366*Input!C54</f>
        <v>0</v>
      </c>
      <c r="E366" s="738"/>
      <c r="O366" s="744"/>
      <c r="P366" s="734"/>
      <c r="R366" s="712"/>
      <c r="S366" s="712"/>
    </row>
    <row r="367" spans="1:19" ht="12.75">
      <c r="A367">
        <f t="shared" si="106"/>
        <v>1984</v>
      </c>
      <c r="B367" s="712">
        <v>0</v>
      </c>
      <c r="C367" s="734">
        <f>B367*Input!C55</f>
        <v>0</v>
      </c>
      <c r="E367" s="738"/>
      <c r="O367" s="744"/>
      <c r="P367" s="734"/>
      <c r="R367" s="712"/>
      <c r="S367" s="712"/>
    </row>
    <row r="368" spans="1:19" ht="12.75">
      <c r="A368">
        <f t="shared" si="106"/>
        <v>1983</v>
      </c>
      <c r="B368" s="712">
        <v>0</v>
      </c>
      <c r="C368" s="734">
        <f>B368*Input!C56</f>
        <v>0</v>
      </c>
      <c r="E368" s="738"/>
      <c r="O368" s="744"/>
      <c r="P368" s="734"/>
      <c r="R368" s="712"/>
      <c r="S368" s="712"/>
    </row>
    <row r="369" spans="1:19" ht="12.75">
      <c r="A369">
        <f t="shared" si="106"/>
        <v>1982</v>
      </c>
      <c r="B369" s="712">
        <v>0</v>
      </c>
      <c r="C369" s="734">
        <f>B369*Input!C57</f>
        <v>0</v>
      </c>
      <c r="E369" s="738"/>
      <c r="O369" s="744"/>
      <c r="P369" s="734"/>
      <c r="R369" s="712"/>
      <c r="S369" s="712"/>
    </row>
    <row r="370" spans="1:19" ht="12.75">
      <c r="A370">
        <f t="shared" si="106"/>
        <v>1981</v>
      </c>
      <c r="B370" s="712">
        <v>0</v>
      </c>
      <c r="C370" s="734">
        <f>B370*Input!C58</f>
        <v>0</v>
      </c>
      <c r="E370" s="738"/>
      <c r="O370" s="744"/>
      <c r="P370" s="734"/>
      <c r="R370" s="712"/>
      <c r="S370" s="712"/>
    </row>
    <row r="371" spans="1:19" ht="12.75">
      <c r="A371">
        <f t="shared" si="106"/>
        <v>1980</v>
      </c>
      <c r="B371" s="712">
        <v>0</v>
      </c>
      <c r="C371" s="734">
        <f>B371*Input!C59</f>
        <v>0</v>
      </c>
      <c r="E371" s="738"/>
      <c r="O371" s="744"/>
      <c r="P371" s="734"/>
      <c r="R371" s="712"/>
      <c r="S371" s="712"/>
    </row>
    <row r="372" spans="1:19" ht="12.75">
      <c r="A372">
        <f t="shared" si="106"/>
        <v>1979</v>
      </c>
      <c r="B372" s="712">
        <v>0</v>
      </c>
      <c r="C372" s="734">
        <f>B372*Input!C60</f>
        <v>0</v>
      </c>
      <c r="E372" s="738"/>
      <c r="O372" s="744"/>
      <c r="P372" s="734"/>
      <c r="R372" s="712"/>
      <c r="S372" s="712"/>
    </row>
    <row r="373" spans="1:19" ht="12.75">
      <c r="A373">
        <f t="shared" si="106"/>
        <v>1978</v>
      </c>
      <c r="B373" s="712">
        <v>0</v>
      </c>
      <c r="C373" s="734">
        <f>B373*Input!C61</f>
        <v>0</v>
      </c>
      <c r="E373" s="738"/>
      <c r="O373" s="744"/>
      <c r="P373" s="734"/>
      <c r="R373" s="712"/>
      <c r="S373" s="712"/>
    </row>
    <row r="374" spans="1:19" ht="12.75">
      <c r="A374">
        <f t="shared" si="106"/>
        <v>1977</v>
      </c>
      <c r="B374" s="712">
        <v>0</v>
      </c>
      <c r="C374" s="734">
        <f>B374*Input!C62</f>
        <v>0</v>
      </c>
      <c r="E374" s="738"/>
      <c r="O374" s="744"/>
      <c r="P374" s="734"/>
      <c r="R374" s="712"/>
      <c r="S374" s="712"/>
    </row>
    <row r="375" spans="1:19" ht="12.75">
      <c r="A375">
        <f t="shared" si="106"/>
        <v>1976</v>
      </c>
      <c r="B375" s="712">
        <v>0</v>
      </c>
      <c r="C375" s="734">
        <f>B375*Input!C63</f>
        <v>0</v>
      </c>
      <c r="E375" s="738"/>
      <c r="O375" s="744"/>
      <c r="P375" s="734"/>
      <c r="R375" s="712"/>
      <c r="S375" s="712"/>
    </row>
    <row r="376" spans="1:19" ht="12.75">
      <c r="A376">
        <f t="shared" si="106"/>
        <v>1975</v>
      </c>
      <c r="B376" s="712">
        <v>0</v>
      </c>
      <c r="C376" s="734">
        <f>B376*Input!C64</f>
        <v>0</v>
      </c>
      <c r="E376" s="738"/>
      <c r="O376" s="744"/>
      <c r="P376" s="734"/>
      <c r="R376" s="712"/>
      <c r="S376" s="712"/>
    </row>
    <row r="377" spans="1:19" ht="12.75">
      <c r="A377">
        <f t="shared" si="106"/>
        <v>1974</v>
      </c>
      <c r="B377" s="712">
        <v>0</v>
      </c>
      <c r="C377" s="734">
        <f>B377*Input!C65</f>
        <v>0</v>
      </c>
      <c r="E377" s="738"/>
      <c r="O377" s="744"/>
      <c r="P377" s="734"/>
      <c r="R377" s="712"/>
      <c r="S377" s="712"/>
    </row>
    <row r="378" spans="1:19" ht="12.75">
      <c r="A378">
        <f t="shared" si="106"/>
        <v>1973</v>
      </c>
      <c r="B378" s="712">
        <v>0</v>
      </c>
      <c r="C378" s="734">
        <f>B378*Input!C66</f>
        <v>0</v>
      </c>
      <c r="E378" s="738"/>
      <c r="O378" s="744"/>
      <c r="P378" s="734"/>
      <c r="R378" s="712"/>
      <c r="S378" s="712"/>
    </row>
    <row r="379" spans="1:19" ht="12.75">
      <c r="A379">
        <f t="shared" si="106"/>
        <v>1972</v>
      </c>
      <c r="B379" s="712">
        <v>0</v>
      </c>
      <c r="C379" s="734">
        <f>B379*Input!C67</f>
        <v>0</v>
      </c>
      <c r="E379" s="738"/>
      <c r="O379" s="744"/>
      <c r="P379" s="734"/>
      <c r="R379" s="712"/>
      <c r="S379" s="712"/>
    </row>
    <row r="380" spans="1:19" ht="12.75">
      <c r="A380">
        <f t="shared" si="106"/>
        <v>1971</v>
      </c>
      <c r="B380" s="712">
        <v>0</v>
      </c>
      <c r="C380" s="734">
        <f>B380*Input!C68</f>
        <v>0</v>
      </c>
      <c r="E380" s="738"/>
      <c r="O380" s="744"/>
      <c r="P380" s="734"/>
      <c r="R380" s="712"/>
      <c r="S380" s="712"/>
    </row>
    <row r="381" spans="1:19" ht="12.75">
      <c r="A381">
        <f t="shared" si="106"/>
        <v>1970</v>
      </c>
      <c r="B381" s="712">
        <v>0</v>
      </c>
      <c r="C381" s="734">
        <f>B381*Input!C69</f>
        <v>0</v>
      </c>
      <c r="E381" s="738"/>
      <c r="O381" s="744"/>
      <c r="P381" s="734"/>
      <c r="R381" s="712"/>
      <c r="S381" s="712"/>
    </row>
    <row r="382" spans="2:19" ht="12.75">
      <c r="B382" s="712"/>
      <c r="C382" s="734"/>
      <c r="E382" s="738"/>
      <c r="O382" s="744"/>
      <c r="P382" s="734"/>
      <c r="R382" s="712"/>
      <c r="S382" s="712"/>
    </row>
    <row r="383" spans="2:19" ht="12.75">
      <c r="B383" s="712"/>
      <c r="C383" s="734"/>
      <c r="E383" s="738"/>
      <c r="O383" s="744"/>
      <c r="P383" s="734"/>
      <c r="R383" s="712"/>
      <c r="S383" s="712"/>
    </row>
    <row r="384" spans="2:19" ht="12.75">
      <c r="B384" s="712"/>
      <c r="C384" s="734"/>
      <c r="E384" s="738"/>
      <c r="O384" s="744"/>
      <c r="P384" s="734"/>
      <c r="R384" s="712"/>
      <c r="S384" s="712"/>
    </row>
    <row r="385" spans="2:19" ht="12.75">
      <c r="B385" s="712"/>
      <c r="C385" s="734"/>
      <c r="E385" s="738"/>
      <c r="O385" s="744"/>
      <c r="P385" s="734"/>
      <c r="R385" s="712"/>
      <c r="S385" s="712"/>
    </row>
    <row r="386" spans="2:19" ht="12.75">
      <c r="B386" s="712"/>
      <c r="C386" s="734"/>
      <c r="E386" s="738"/>
      <c r="O386" s="744"/>
      <c r="P386" s="734"/>
      <c r="R386" s="712"/>
      <c r="S386" s="712"/>
    </row>
    <row r="387" spans="2:19" ht="12.75">
      <c r="B387" s="712"/>
      <c r="C387" s="734"/>
      <c r="E387" s="738"/>
      <c r="O387" s="744"/>
      <c r="P387" s="734"/>
      <c r="R387" s="712"/>
      <c r="S387" s="712"/>
    </row>
    <row r="388" spans="2:19" ht="12.75">
      <c r="B388" s="712"/>
      <c r="C388" s="734"/>
      <c r="E388" s="738"/>
      <c r="O388" s="744"/>
      <c r="P388" s="734"/>
      <c r="R388" s="712"/>
      <c r="S388" s="712"/>
    </row>
    <row r="389" spans="2:19" ht="12.75">
      <c r="B389" s="712"/>
      <c r="C389" s="734"/>
      <c r="E389" s="738"/>
      <c r="O389" s="744"/>
      <c r="P389" s="734"/>
      <c r="R389" s="712"/>
      <c r="S389" s="712"/>
    </row>
    <row r="390" spans="2:19" ht="12.75">
      <c r="B390" s="712"/>
      <c r="C390" s="734"/>
      <c r="E390" s="738"/>
      <c r="O390" s="744"/>
      <c r="P390" s="734"/>
      <c r="R390" s="712"/>
      <c r="S390" s="712"/>
    </row>
    <row r="391" spans="3:19" ht="12.75">
      <c r="C391" s="741"/>
      <c r="E391" s="738"/>
      <c r="O391" s="744"/>
      <c r="P391" s="734"/>
      <c r="R391" s="712"/>
      <c r="S391" s="712"/>
    </row>
    <row r="392" ht="12.75">
      <c r="C392" s="741">
        <v>0</v>
      </c>
    </row>
    <row r="393" spans="1:19" ht="12.75">
      <c r="A393" t="s">
        <v>517</v>
      </c>
      <c r="O393" t="s">
        <v>477</v>
      </c>
      <c r="P393" t="s">
        <v>520</v>
      </c>
      <c r="R393" t="s">
        <v>509</v>
      </c>
      <c r="S393" t="s">
        <v>515</v>
      </c>
    </row>
    <row r="394" spans="1:19" ht="12.75">
      <c r="A394">
        <v>2030</v>
      </c>
      <c r="B394" s="712">
        <f>Input!D50</f>
        <v>0.05</v>
      </c>
      <c r="C394" s="734">
        <f>B394*Input!C9</f>
        <v>139296.46290272192</v>
      </c>
      <c r="D394">
        <f>Input!E$4*(1+Input!F222)</f>
        <v>65</v>
      </c>
      <c r="E394" s="738">
        <f>1/D394</f>
        <v>0.015384615384615385</v>
      </c>
      <c r="O394" s="744">
        <f aca="true" t="shared" si="108" ref="O394:O424">SUMPRODUCT($K$3:$K$33,$J$3:$J$33,C394:C424)</f>
        <v>29036659790.046436</v>
      </c>
      <c r="P394" s="734">
        <f aca="true" t="shared" si="109" ref="P394:P424">SUMPRODUCT(C394:C424,J$3:J$33)</f>
        <v>2552098.867907408</v>
      </c>
      <c r="R394" s="712">
        <f>O394/Y3</f>
        <v>0.07114313010177589</v>
      </c>
      <c r="S394" s="712">
        <f>P394/V3</f>
        <v>0.06465310962870686</v>
      </c>
    </row>
    <row r="395" spans="1:19" ht="12.75">
      <c r="A395">
        <f>A394-1</f>
        <v>2029</v>
      </c>
      <c r="B395" s="712">
        <f aca="true" t="shared" si="110" ref="B395:B402">B396+(B$394-B$404)/(A$394-A$404)</f>
        <v>0.05499999999999998</v>
      </c>
      <c r="C395" s="734">
        <f>B395*Input!C10</f>
        <v>151264.3794220189</v>
      </c>
      <c r="D395">
        <f>($D$33+(($D$3-$D$33)/($A$3-$A$33))*(A395-$A$33))*(1+Input!F$4)</f>
        <v>84.15</v>
      </c>
      <c r="E395" s="738">
        <f aca="true" t="shared" si="111" ref="E395:E424">1/D395</f>
        <v>0.011883541295306001</v>
      </c>
      <c r="O395" s="744">
        <f t="shared" si="108"/>
        <v>29183840667.802074</v>
      </c>
      <c r="P395" s="734">
        <f t="shared" si="109"/>
        <v>2524120.145578267</v>
      </c>
      <c r="R395" s="712">
        <f>O395/Y4</f>
        <v>0.07259778084765348</v>
      </c>
      <c r="S395" s="712">
        <f>P395/V4</f>
        <v>0.06493726602839069</v>
      </c>
    </row>
    <row r="396" spans="1:19" ht="12.75">
      <c r="A396">
        <f aca="true" t="shared" si="112" ref="A396:A454">A395-1</f>
        <v>2028</v>
      </c>
      <c r="B396" s="712">
        <f t="shared" si="110"/>
        <v>0.05999999999999998</v>
      </c>
      <c r="C396" s="734">
        <f>B396*Input!C11</f>
        <v>162875.61780113867</v>
      </c>
      <c r="D396">
        <f>($D$33+(($D$3-$D$33)/($A$3-$A$33))*(A396-$A$33))*(1+Input!F$4)</f>
        <v>82.5</v>
      </c>
      <c r="E396" s="738">
        <f t="shared" si="111"/>
        <v>0.012121212121212121</v>
      </c>
      <c r="O396" s="744">
        <f t="shared" si="108"/>
        <v>29030803536.552837</v>
      </c>
      <c r="P396" s="734">
        <f t="shared" si="109"/>
        <v>2474543.037824764</v>
      </c>
      <c r="R396" s="712">
        <f>O396/Y5</f>
        <v>0.0733313499134092</v>
      </c>
      <c r="S396" s="712">
        <f>P396/V5</f>
        <v>0.06465286848894064</v>
      </c>
    </row>
    <row r="397" spans="1:19" ht="12.75">
      <c r="A397">
        <f t="shared" si="112"/>
        <v>2027</v>
      </c>
      <c r="B397" s="712">
        <f t="shared" si="110"/>
        <v>0.06499999999999997</v>
      </c>
      <c r="C397" s="734">
        <f>B397*Input!C12</f>
        <v>174130.17804008018</v>
      </c>
      <c r="D397">
        <f>($D$33+(($D$3-$D$33)/($A$3-$A$33))*(A397-$A$33))*(1+Input!F$4)</f>
        <v>80.85000000000001</v>
      </c>
      <c r="E397" s="738">
        <f t="shared" si="111"/>
        <v>0.012368583797155224</v>
      </c>
      <c r="O397" s="744">
        <f t="shared" si="108"/>
        <v>28567892047.421112</v>
      </c>
      <c r="P397" s="734">
        <f t="shared" si="109"/>
        <v>2403393.427844719</v>
      </c>
      <c r="R397" s="712">
        <f>O397/Y6</f>
        <v>0.07328210435001734</v>
      </c>
      <c r="S397" s="712">
        <f>P397/V6</f>
        <v>0.06377247224769193</v>
      </c>
    </row>
    <row r="398" spans="1:19" ht="12.75">
      <c r="A398">
        <f t="shared" si="112"/>
        <v>2026</v>
      </c>
      <c r="B398" s="712">
        <f t="shared" si="110"/>
        <v>0.06999999999999998</v>
      </c>
      <c r="C398" s="734">
        <f>B398*Input!C13</f>
        <v>185028.06013884526</v>
      </c>
      <c r="D398">
        <f>($D$33+(($D$3-$D$33)/($A$3-$A$33))*(A398-$A$33))*(1+Input!F$4)</f>
        <v>79.2</v>
      </c>
      <c r="E398" s="738">
        <f t="shared" si="111"/>
        <v>0.012626262626262626</v>
      </c>
      <c r="O398" s="744">
        <f t="shared" si="108"/>
        <v>27790223174.7198</v>
      </c>
      <c r="P398" s="734">
        <f t="shared" si="109"/>
        <v>2310920.9244240145</v>
      </c>
      <c r="R398" s="712">
        <f>O398/Y7</f>
        <v>0.07239720843320546</v>
      </c>
      <c r="S398" s="712">
        <f>P398/V7</f>
        <v>0.0622738611861652</v>
      </c>
    </row>
    <row r="399" spans="1:19" ht="12.75">
      <c r="A399">
        <f t="shared" si="112"/>
        <v>2025</v>
      </c>
      <c r="B399" s="712">
        <f t="shared" si="110"/>
        <v>0.07499999999999998</v>
      </c>
      <c r="C399" s="734">
        <f>B399*Input!C14</f>
        <v>195569.26409743304</v>
      </c>
      <c r="D399">
        <f>($D$33+(($D$3-$D$33)/($A$3-$A$33))*(A399-$A$33))*(1+Input!F$4)</f>
        <v>77.55</v>
      </c>
      <c r="E399" s="738">
        <f t="shared" si="111"/>
        <v>0.01289490651192779</v>
      </c>
      <c r="O399" s="744">
        <f t="shared" si="108"/>
        <v>26698389919.57296</v>
      </c>
      <c r="P399" s="734">
        <f t="shared" si="109"/>
        <v>2197659.4885738185</v>
      </c>
      <c r="R399" s="712">
        <f>O399/Y8</f>
        <v>0.07063750040011993</v>
      </c>
      <c r="S399" s="712">
        <f>P399/V8</f>
        <v>0.06014396736722075</v>
      </c>
    </row>
    <row r="400" spans="1:19" ht="12.75">
      <c r="A400">
        <f t="shared" si="112"/>
        <v>2024</v>
      </c>
      <c r="B400" s="712">
        <f t="shared" si="110"/>
        <v>0.07999999999999999</v>
      </c>
      <c r="C400" s="734">
        <f>B400*Input!C15</f>
        <v>205753.78991584366</v>
      </c>
      <c r="D400">
        <f>($D$33+(($D$3-$D$33)/($A$3-$A$33))*(A400-$A$33))*(1+Input!F$4)</f>
        <v>75.9</v>
      </c>
      <c r="E400" s="738">
        <f t="shared" si="111"/>
        <v>0.013175230566534914</v>
      </c>
      <c r="O400" s="744">
        <f t="shared" si="108"/>
        <v>25298233385.268135</v>
      </c>
      <c r="P400" s="734">
        <f t="shared" si="109"/>
        <v>2064401.9626317774</v>
      </c>
      <c r="R400" s="712">
        <f>O400/Y9</f>
        <v>0.06797636868112886</v>
      </c>
      <c r="S400" s="712">
        <f>P400/V9</f>
        <v>0.05737325948575232</v>
      </c>
    </row>
    <row r="401" spans="1:19" ht="12.75">
      <c r="A401">
        <f t="shared" si="112"/>
        <v>2023</v>
      </c>
      <c r="B401" s="712">
        <f t="shared" si="110"/>
        <v>0.08499999999999999</v>
      </c>
      <c r="C401" s="734">
        <f>B401*Input!C16</f>
        <v>215581.63759407678</v>
      </c>
      <c r="D401">
        <f>($D$33+(($D$3-$D$33)/($A$3-$A$33))*(A401-$A$33))*(1+Input!F$4)</f>
        <v>74.25</v>
      </c>
      <c r="E401" s="738">
        <f t="shared" si="111"/>
        <v>0.013468013468013467</v>
      </c>
      <c r="O401" s="744">
        <f t="shared" si="108"/>
        <v>23600811221.790276</v>
      </c>
      <c r="P401" s="734">
        <f t="shared" si="109"/>
        <v>1912212.6509208062</v>
      </c>
      <c r="R401" s="712">
        <f>O401/Y10</f>
        <v>0.06440308025625029</v>
      </c>
      <c r="S401" s="712">
        <f>P401/V10</f>
        <v>0.05396447102297922</v>
      </c>
    </row>
    <row r="402" spans="1:19" ht="12.75">
      <c r="A402">
        <f t="shared" si="112"/>
        <v>2022</v>
      </c>
      <c r="B402" s="712">
        <f t="shared" si="110"/>
        <v>0.09</v>
      </c>
      <c r="C402" s="734">
        <f>B402*Input!C17</f>
        <v>225052.80713213276</v>
      </c>
      <c r="D402">
        <f>($D$33+(($D$3-$D$33)/($A$3-$A$33))*(A402-$A$33))*(1+Input!F$4)</f>
        <v>72.60000000000001</v>
      </c>
      <c r="E402" s="738">
        <f t="shared" si="111"/>
        <v>0.013774104683195591</v>
      </c>
      <c r="O402" s="744">
        <f t="shared" si="108"/>
        <v>21621250033.404163</v>
      </c>
      <c r="P402" s="734">
        <f t="shared" si="109"/>
        <v>1742269.2512399452</v>
      </c>
      <c r="R402" s="712">
        <f>O402/Y11</f>
        <v>0.05991883495704417</v>
      </c>
      <c r="S402" s="712">
        <f>P402/V11</f>
        <v>0.04992755295145928</v>
      </c>
    </row>
    <row r="403" spans="1:19" ht="12.75">
      <c r="A403">
        <f t="shared" si="112"/>
        <v>2021</v>
      </c>
      <c r="B403" s="712">
        <f>B404+(B$394-B$404)/(A$394-A$404)</f>
        <v>0.095</v>
      </c>
      <c r="C403" s="734">
        <f>B403*Input!C18</f>
        <v>234167.29853001138</v>
      </c>
      <c r="D403">
        <f>($D$33+(($D$3-$D$33)/($A$3-$A$33))*(A403-$A$33))*(1+Input!F$4)</f>
        <v>70.95</v>
      </c>
      <c r="E403" s="738">
        <f t="shared" si="111"/>
        <v>0.01409443269908386</v>
      </c>
      <c r="O403" s="744">
        <f t="shared" si="108"/>
        <v>19376979421.188637</v>
      </c>
      <c r="P403" s="734">
        <f t="shared" si="109"/>
        <v>1555721.5423815022</v>
      </c>
      <c r="R403" s="712">
        <f>O403/Y12</f>
        <v>0.05453440412849781</v>
      </c>
      <c r="S403" s="712">
        <f>P403/V12</f>
        <v>0.045270531491185685</v>
      </c>
    </row>
    <row r="404" spans="1:19" ht="12.75">
      <c r="A404">
        <f t="shared" si="112"/>
        <v>2020</v>
      </c>
      <c r="B404" s="712">
        <f>Input!C50</f>
        <v>0.1</v>
      </c>
      <c r="C404" s="734">
        <f>B404*Input!C19</f>
        <v>232269.82961189962</v>
      </c>
      <c r="D404">
        <f>($D$33+(($D$3-$D$33)/($A$3-$A$33))*(A404-$A$33))*(1+Input!F$4)</f>
        <v>69.3</v>
      </c>
      <c r="E404" s="738">
        <f t="shared" si="111"/>
        <v>0.01443001443001443</v>
      </c>
      <c r="O404" s="744">
        <f t="shared" si="108"/>
        <v>16899975913.806353</v>
      </c>
      <c r="P404" s="734">
        <f t="shared" si="109"/>
        <v>1353390.9211205465</v>
      </c>
      <c r="R404" s="712">
        <f>O404/Y13</f>
        <v>0.048282173558975856</v>
      </c>
      <c r="S404" s="712">
        <f>P404/V13</f>
        <v>0.03999403396291501</v>
      </c>
    </row>
    <row r="405" spans="1:19" ht="12.75">
      <c r="A405">
        <f t="shared" si="112"/>
        <v>2019</v>
      </c>
      <c r="B405" s="712">
        <f aca="true" t="shared" si="113" ref="B405:B414">B406+($B$404-$B$416)/($A$404-$A$416)</f>
        <v>0.09166666666666666</v>
      </c>
      <c r="C405" s="734">
        <f>B405*Input!C20</f>
        <v>211222.7499189734</v>
      </c>
      <c r="D405">
        <f>($D$33+(($D$3-$D$33)/($A$3-$A$33))*(A405-$A$33))*(1+Input!F$4)</f>
        <v>67.65</v>
      </c>
      <c r="E405" s="738">
        <f t="shared" si="111"/>
        <v>0.014781966001478195</v>
      </c>
      <c r="O405" s="744">
        <f t="shared" si="108"/>
        <v>14359409017.663778</v>
      </c>
      <c r="P405" s="734">
        <f t="shared" si="109"/>
        <v>1146811.9027952712</v>
      </c>
      <c r="R405" s="712">
        <f>O405/Y14</f>
        <v>0.04149731996951545</v>
      </c>
      <c r="S405" s="712">
        <f>P405/V14</f>
        <v>0.034305069724744335</v>
      </c>
    </row>
    <row r="406" spans="1:19" ht="12.75">
      <c r="A406">
        <f t="shared" si="112"/>
        <v>2018</v>
      </c>
      <c r="B406" s="712">
        <f t="shared" si="113"/>
        <v>0.08333333333333333</v>
      </c>
      <c r="C406" s="734">
        <f>B406*Input!C21</f>
        <v>190010.50095934066</v>
      </c>
      <c r="D406">
        <f>($D$33+(($D$3-$D$33)/($A$3-$A$33))*(A406-$A$33))*(1+Input!F$4)</f>
        <v>66</v>
      </c>
      <c r="E406" s="738">
        <f t="shared" si="111"/>
        <v>0.015151515151515152</v>
      </c>
      <c r="O406" s="744">
        <f t="shared" si="108"/>
        <v>11993868763.673124</v>
      </c>
      <c r="P406" s="734">
        <f t="shared" si="109"/>
        <v>956021.511139934</v>
      </c>
      <c r="R406" s="712">
        <f>O406/Y15</f>
        <v>0.03507951115957981</v>
      </c>
      <c r="S406" s="712">
        <f>P406/V15</f>
        <v>0.028960830921561664</v>
      </c>
    </row>
    <row r="407" spans="1:19" ht="12.75">
      <c r="A407">
        <f t="shared" si="112"/>
        <v>2017</v>
      </c>
      <c r="B407" s="712">
        <f t="shared" si="113"/>
        <v>0.075</v>
      </c>
      <c r="C407" s="734">
        <f>B407*Input!C22</f>
        <v>169219.22749222166</v>
      </c>
      <c r="D407">
        <f>($D$33+(($D$3-$D$33)/($A$3-$A$33))*(A407-$A$33))*(1+Input!F$4)</f>
        <v>64.35000000000001</v>
      </c>
      <c r="E407" s="738">
        <f t="shared" si="111"/>
        <v>0.015540015540015538</v>
      </c>
      <c r="O407" s="744">
        <f t="shared" si="108"/>
        <v>9821465680.886477</v>
      </c>
      <c r="P407" s="734">
        <f t="shared" si="109"/>
        <v>782008.2827005807</v>
      </c>
      <c r="R407" s="712">
        <f>O407/Y16</f>
        <v>0.029084229441110145</v>
      </c>
      <c r="S407" s="712">
        <f>P407/V16</f>
        <v>0.023996996926609872</v>
      </c>
    </row>
    <row r="408" spans="1:19" ht="12.75">
      <c r="A408">
        <f t="shared" si="112"/>
        <v>2016</v>
      </c>
      <c r="B408" s="712">
        <f t="shared" si="113"/>
        <v>0.06666666666666667</v>
      </c>
      <c r="C408" s="734">
        <f>B408*Input!C23</f>
        <v>148842.4401678843</v>
      </c>
      <c r="D408">
        <f>($D$33+(($D$3-$D$33)/($A$3-$A$33))*(A408-$A$33))*(1+Input!F$4)</f>
        <v>62.7</v>
      </c>
      <c r="E408" s="738">
        <f t="shared" si="111"/>
        <v>0.01594896331738437</v>
      </c>
      <c r="O408" s="744">
        <f t="shared" si="108"/>
        <v>7852125802.136593</v>
      </c>
      <c r="P408" s="734">
        <f t="shared" si="109"/>
        <v>625117.0091406081</v>
      </c>
      <c r="R408" s="712">
        <f>O408/Y17</f>
        <v>0.023554941142518087</v>
      </c>
      <c r="S408" s="712">
        <f>P408/V17</f>
        <v>0.01943868905322985</v>
      </c>
    </row>
    <row r="409" spans="1:19" ht="12.75">
      <c r="A409">
        <f t="shared" si="112"/>
        <v>2015</v>
      </c>
      <c r="B409" s="712">
        <f t="shared" si="113"/>
        <v>0.05833333333333333</v>
      </c>
      <c r="C409" s="734">
        <f>B409*Input!C24</f>
        <v>128873.73936988765</v>
      </c>
      <c r="D409">
        <f>($D$33+(($D$3-$D$33)/($A$3-$A$33))*(A409-$A$33))*(1+Input!F$4)</f>
        <v>61.050000000000004</v>
      </c>
      <c r="E409" s="738">
        <f t="shared" si="111"/>
        <v>0.01638001638001638</v>
      </c>
      <c r="O409" s="744">
        <f t="shared" si="108"/>
        <v>6093769585.643131</v>
      </c>
      <c r="P409" s="734">
        <f t="shared" si="109"/>
        <v>485595.7411007906</v>
      </c>
      <c r="R409" s="712">
        <f>O409/Y18</f>
        <v>0.01852956182804944</v>
      </c>
      <c r="S409" s="712">
        <f>P409/V18</f>
        <v>0.015307648404172572</v>
      </c>
    </row>
    <row r="410" spans="1:19" ht="12.75">
      <c r="A410">
        <f t="shared" si="112"/>
        <v>2014</v>
      </c>
      <c r="B410" s="712">
        <f t="shared" si="113"/>
        <v>0.049999999999999996</v>
      </c>
      <c r="C410" s="734">
        <f>B410*Input!C25</f>
        <v>109306.8140474979</v>
      </c>
      <c r="D410">
        <f>($D$33+(($D$3-$D$33)/($A$3-$A$33))*(A410-$A$33))*(1+Input!F$4)</f>
        <v>59.400000000000006</v>
      </c>
      <c r="E410" s="738">
        <f t="shared" si="111"/>
        <v>0.016835016835016835</v>
      </c>
      <c r="O410" s="744">
        <f t="shared" si="108"/>
        <v>4552671229.093918</v>
      </c>
      <c r="P410" s="734">
        <f t="shared" si="109"/>
        <v>363627.5908480439</v>
      </c>
      <c r="R410" s="712">
        <f>O410/Y19</f>
        <v>0.014041047735764802</v>
      </c>
      <c r="S410" s="712">
        <f>P410/V19</f>
        <v>0.011623723514665526</v>
      </c>
    </row>
    <row r="411" spans="1:19" ht="12.75">
      <c r="A411">
        <f t="shared" si="112"/>
        <v>2013</v>
      </c>
      <c r="B411" s="712">
        <f t="shared" si="113"/>
        <v>0.041666666666666664</v>
      </c>
      <c r="C411" s="734">
        <f>B411*Input!C26</f>
        <v>90135.44056271588</v>
      </c>
      <c r="D411">
        <f>($D$33+(($D$3-$D$33)/($A$3-$A$33))*(A411-$A$33))*(1+Input!F$4)</f>
        <v>57.75</v>
      </c>
      <c r="E411" s="738">
        <f t="shared" si="111"/>
        <v>0.017316017316017316</v>
      </c>
      <c r="O411" s="744">
        <f t="shared" si="108"/>
        <v>3232948463.872874</v>
      </c>
      <c r="P411" s="734">
        <f t="shared" si="109"/>
        <v>259285.12135892143</v>
      </c>
      <c r="R411" s="712">
        <f>O411/Y20</f>
        <v>0.010119463000797304</v>
      </c>
      <c r="S411" s="712">
        <f>P411/V20</f>
        <v>0.008406742545304787</v>
      </c>
    </row>
    <row r="412" spans="1:19" ht="12.75">
      <c r="A412">
        <f t="shared" si="112"/>
        <v>2012</v>
      </c>
      <c r="B412" s="712">
        <f t="shared" si="113"/>
        <v>0.03333333333333333</v>
      </c>
      <c r="C412" s="734">
        <f>B412*Input!C27</f>
        <v>71353.48155173885</v>
      </c>
      <c r="D412">
        <f>($D$33+(($D$3-$D$33)/($A$3-$A$33))*(A412-$A$33))*(1+Input!F$4)</f>
        <v>56.1</v>
      </c>
      <c r="E412" s="738">
        <f t="shared" si="111"/>
        <v>0.017825311942959002</v>
      </c>
      <c r="O412" s="744">
        <f t="shared" si="108"/>
        <v>2137065952.7711802</v>
      </c>
      <c r="P412" s="734">
        <f t="shared" si="109"/>
        <v>172564.49607895536</v>
      </c>
      <c r="R412" s="712">
        <f>O412/Y21</f>
        <v>0.006793256135322818</v>
      </c>
      <c r="S412" s="712">
        <f>P412/V21</f>
        <v>0.005676264975394723</v>
      </c>
    </row>
    <row r="413" spans="1:19" ht="12.75">
      <c r="A413">
        <f t="shared" si="112"/>
        <v>2011</v>
      </c>
      <c r="B413" s="712">
        <f t="shared" si="113"/>
        <v>0.025</v>
      </c>
      <c r="C413" s="734">
        <f>B413*Input!C28</f>
        <v>52954.88480068037</v>
      </c>
      <c r="D413">
        <f>($D$33+(($D$3-$D$33)/($A$3-$A$33))*(A413-$A$33))*(1+Input!F$4)</f>
        <v>54.45</v>
      </c>
      <c r="E413" s="738">
        <f t="shared" si="111"/>
        <v>0.018365472910927456</v>
      </c>
      <c r="O413" s="744">
        <f t="shared" si="108"/>
        <v>1266009173.7179856</v>
      </c>
      <c r="P413" s="734">
        <f t="shared" si="109"/>
        <v>103391.07696456357</v>
      </c>
      <c r="R413" s="712">
        <f>O413/Y22</f>
        <v>0.004089023120915516</v>
      </c>
      <c r="S413" s="712">
        <f>P413/V22</f>
        <v>0.0034506641844249688</v>
      </c>
    </row>
    <row r="414" spans="1:19" ht="12.75">
      <c r="A414">
        <f t="shared" si="112"/>
        <v>2010</v>
      </c>
      <c r="B414" s="712">
        <f t="shared" si="113"/>
        <v>0.016666666666666666</v>
      </c>
      <c r="C414" s="734">
        <f>B414*Input!C29</f>
        <v>34933.68213537424</v>
      </c>
      <c r="D414">
        <f>($D$33+(($D$3-$D$33)/($A$3-$A$33))*(A414-$A$33))*(1+Input!F$4)</f>
        <v>52.800000000000004</v>
      </c>
      <c r="E414" s="738">
        <f t="shared" si="111"/>
        <v>0.018939393939393936</v>
      </c>
      <c r="O414" s="744">
        <f t="shared" si="108"/>
        <v>619999168.4442444</v>
      </c>
      <c r="P414" s="734">
        <f t="shared" si="109"/>
        <v>51666.97960385537</v>
      </c>
      <c r="R414" s="712">
        <f>O414/Y23</f>
        <v>0.002035571299853722</v>
      </c>
      <c r="S414" s="712">
        <f>P414/V23</f>
        <v>0.0017497098953937694</v>
      </c>
    </row>
    <row r="415" spans="1:19" ht="12.75">
      <c r="A415">
        <f t="shared" si="112"/>
        <v>2009</v>
      </c>
      <c r="B415" s="712">
        <f>B416+($B$404-$B$416)/($A$404-$A$416)</f>
        <v>0.008333333333333333</v>
      </c>
      <c r="C415" s="734">
        <f>B415*Input!C30</f>
        <v>17213.555671722177</v>
      </c>
      <c r="D415">
        <f>($D$33+(($D$3-$D$33)/($A$3-$A$33))*(A415-$A$33))*(1+Input!F$4)</f>
        <v>51.150000000000006</v>
      </c>
      <c r="E415" s="738">
        <f t="shared" si="111"/>
        <v>0.01955034213098729</v>
      </c>
      <c r="O415" s="744">
        <f t="shared" si="108"/>
        <v>197955890.22480503</v>
      </c>
      <c r="P415" s="734">
        <f t="shared" si="109"/>
        <v>17213.555671722177</v>
      </c>
      <c r="R415" s="712">
        <f>O415/Y24</f>
        <v>0.0006608625199080099</v>
      </c>
      <c r="S415" s="712">
        <f>P415/V24</f>
        <v>0.0005915068270390167</v>
      </c>
    </row>
    <row r="416" spans="1:19" ht="12.75">
      <c r="A416">
        <f t="shared" si="112"/>
        <v>2008</v>
      </c>
      <c r="B416" s="712">
        <f>Input!B50</f>
        <v>0</v>
      </c>
      <c r="C416" s="734">
        <f>B416*Input!C31</f>
        <v>0</v>
      </c>
      <c r="D416">
        <f>($D$33+(($D$3-$D$33)/($A$3-$A$33))*(A416-$A$33))*(1+Input!F$4)</f>
        <v>49.5</v>
      </c>
      <c r="E416" s="738">
        <f t="shared" si="111"/>
        <v>0.020202020202020204</v>
      </c>
      <c r="O416" s="744">
        <f t="shared" si="108"/>
        <v>0</v>
      </c>
      <c r="P416" s="734">
        <f t="shared" si="109"/>
        <v>0</v>
      </c>
      <c r="R416" s="712">
        <f>O416/Y25</f>
        <v>0</v>
      </c>
      <c r="S416" s="712">
        <f>P416/V25</f>
        <v>0</v>
      </c>
    </row>
    <row r="417" spans="1:19" ht="12.75">
      <c r="A417">
        <f t="shared" si="112"/>
        <v>2007</v>
      </c>
      <c r="B417" s="712">
        <v>0</v>
      </c>
      <c r="C417" s="734">
        <f>B417*Input!C32</f>
        <v>0</v>
      </c>
      <c r="D417">
        <f>($D$33+(($D$3-$D$33)/($A$3-$A$33))*(A417-$A$33))*(1+Input!F$4)</f>
        <v>47.85</v>
      </c>
      <c r="E417" s="738">
        <f t="shared" si="111"/>
        <v>0.02089864158829676</v>
      </c>
      <c r="O417" s="744">
        <f t="shared" si="108"/>
        <v>0</v>
      </c>
      <c r="P417" s="734">
        <f t="shared" si="109"/>
        <v>0</v>
      </c>
      <c r="R417" s="712">
        <f>O417/Y26</f>
        <v>0</v>
      </c>
      <c r="S417" s="712">
        <f>P417/V26</f>
        <v>0</v>
      </c>
    </row>
    <row r="418" spans="1:19" ht="12.75">
      <c r="A418">
        <f t="shared" si="112"/>
        <v>2006</v>
      </c>
      <c r="B418" s="712">
        <v>0</v>
      </c>
      <c r="C418" s="734">
        <f>B418*Input!C33</f>
        <v>0</v>
      </c>
      <c r="D418">
        <f>($D$33+(($D$3-$D$33)/($A$3-$A$33))*(A418-$A$33))*(1+Input!F$4)</f>
        <v>46.2</v>
      </c>
      <c r="E418" s="738">
        <f t="shared" si="111"/>
        <v>0.021645021645021644</v>
      </c>
      <c r="O418" s="744">
        <f t="shared" si="108"/>
        <v>0</v>
      </c>
      <c r="P418" s="734">
        <f t="shared" si="109"/>
        <v>0</v>
      </c>
      <c r="R418" s="712">
        <f>O418/Y27</f>
        <v>0</v>
      </c>
      <c r="S418" s="712">
        <f>P418/V27</f>
        <v>0</v>
      </c>
    </row>
    <row r="419" spans="1:19" ht="12.75">
      <c r="A419">
        <f t="shared" si="112"/>
        <v>2005</v>
      </c>
      <c r="B419" s="712">
        <v>0</v>
      </c>
      <c r="C419" s="734">
        <f>B419*Input!C34</f>
        <v>0</v>
      </c>
      <c r="D419">
        <f>($D$33+(($D$3-$D$33)/($A$3-$A$33))*(A419-$A$33))*(1+Input!F$4)</f>
        <v>44.550000000000004</v>
      </c>
      <c r="E419" s="738">
        <f t="shared" si="111"/>
        <v>0.02244668911335578</v>
      </c>
      <c r="O419" s="744">
        <f t="shared" si="108"/>
        <v>0</v>
      </c>
      <c r="P419" s="734">
        <f t="shared" si="109"/>
        <v>0</v>
      </c>
      <c r="R419" s="712">
        <f>O419/Y28</f>
        <v>0</v>
      </c>
      <c r="S419" s="712">
        <f>P419/V28</f>
        <v>0</v>
      </c>
    </row>
    <row r="420" spans="1:19" ht="12.75">
      <c r="A420">
        <f t="shared" si="112"/>
        <v>2004</v>
      </c>
      <c r="B420" s="712">
        <v>0</v>
      </c>
      <c r="C420" s="734">
        <f>B420*Input!C35</f>
        <v>0</v>
      </c>
      <c r="D420">
        <f>($D$33+(($D$3-$D$33)/($A$3-$A$33))*(A420-$A$33))*(1+Input!F$4)</f>
        <v>42.9</v>
      </c>
      <c r="E420" s="738">
        <f t="shared" si="111"/>
        <v>0.023310023310023312</v>
      </c>
      <c r="O420" s="744">
        <f t="shared" si="108"/>
        <v>0</v>
      </c>
      <c r="P420" s="734">
        <f t="shared" si="109"/>
        <v>0</v>
      </c>
      <c r="R420" s="712">
        <f>O420/Y29</f>
        <v>0</v>
      </c>
      <c r="S420" s="712">
        <f>P420/V29</f>
        <v>0</v>
      </c>
    </row>
    <row r="421" spans="1:19" ht="12.75">
      <c r="A421">
        <f t="shared" si="112"/>
        <v>2003</v>
      </c>
      <c r="B421" s="712">
        <v>0</v>
      </c>
      <c r="C421" s="734">
        <f>B421*Input!C36</f>
        <v>0</v>
      </c>
      <c r="D421">
        <f>($D$33+(($D$3-$D$33)/($A$3-$A$33))*(A421-$A$33))*(1+Input!F$4)</f>
        <v>41.25</v>
      </c>
      <c r="E421" s="738">
        <f t="shared" si="111"/>
        <v>0.024242424242424242</v>
      </c>
      <c r="O421" s="744">
        <f t="shared" si="108"/>
        <v>0</v>
      </c>
      <c r="P421" s="734">
        <f t="shared" si="109"/>
        <v>0</v>
      </c>
      <c r="R421" s="712">
        <f>O421/Y30</f>
        <v>0</v>
      </c>
      <c r="S421" s="712">
        <f>P421/V30</f>
        <v>0</v>
      </c>
    </row>
    <row r="422" spans="1:19" ht="12.75">
      <c r="A422">
        <f t="shared" si="112"/>
        <v>2002</v>
      </c>
      <c r="B422" s="712">
        <v>0</v>
      </c>
      <c r="C422" s="734">
        <f>B422*Input!C37</f>
        <v>0</v>
      </c>
      <c r="D422">
        <f>($D$33+(($D$3-$D$33)/($A$3-$A$33))*(A422-$A$33))*(1+Input!F$4)</f>
        <v>39.6</v>
      </c>
      <c r="E422" s="738">
        <f t="shared" si="111"/>
        <v>0.025252525252525252</v>
      </c>
      <c r="O422" s="744">
        <f t="shared" si="108"/>
        <v>0</v>
      </c>
      <c r="P422" s="734">
        <f t="shared" si="109"/>
        <v>0</v>
      </c>
      <c r="R422" s="712">
        <f>O422/Y31</f>
        <v>0</v>
      </c>
      <c r="S422" s="712">
        <f>P422/V31</f>
        <v>0</v>
      </c>
    </row>
    <row r="423" spans="1:19" ht="12.75">
      <c r="A423">
        <f t="shared" si="112"/>
        <v>2001</v>
      </c>
      <c r="B423" s="712">
        <v>0</v>
      </c>
      <c r="C423" s="734">
        <f>B423*Input!C38</f>
        <v>0</v>
      </c>
      <c r="D423">
        <f>($D$33+(($D$3-$D$33)/($A$3-$A$33))*(A423-$A$33))*(1+Input!F$4)</f>
        <v>37.95</v>
      </c>
      <c r="E423" s="738">
        <f t="shared" si="111"/>
        <v>0.026350461133069828</v>
      </c>
      <c r="O423" s="744">
        <f t="shared" si="108"/>
        <v>0</v>
      </c>
      <c r="P423" s="734">
        <f t="shared" si="109"/>
        <v>0</v>
      </c>
      <c r="R423" s="712">
        <f>O423/Y32</f>
        <v>0</v>
      </c>
      <c r="S423" s="712">
        <f>P423/V32</f>
        <v>0</v>
      </c>
    </row>
    <row r="424" spans="1:19" ht="12.75">
      <c r="A424">
        <f t="shared" si="112"/>
        <v>2000</v>
      </c>
      <c r="B424" s="712">
        <v>0</v>
      </c>
      <c r="C424" s="734">
        <f>B424*Input!C39</f>
        <v>0</v>
      </c>
      <c r="D424">
        <f>Input!E$5*(1+Input!F$4)</f>
        <v>36.300000000000004</v>
      </c>
      <c r="E424" s="738">
        <f t="shared" si="111"/>
        <v>0.027548209366391182</v>
      </c>
      <c r="O424" s="744">
        <f t="shared" si="108"/>
        <v>0</v>
      </c>
      <c r="P424" s="734">
        <f t="shared" si="109"/>
        <v>0</v>
      </c>
      <c r="R424" s="712">
        <f>O424/Y33</f>
        <v>0</v>
      </c>
      <c r="S424" s="712">
        <f>P424/V33</f>
        <v>0</v>
      </c>
    </row>
    <row r="425" spans="1:2" ht="12.75">
      <c r="A425">
        <f t="shared" si="112"/>
        <v>1999</v>
      </c>
      <c r="B425" s="712">
        <v>0</v>
      </c>
    </row>
    <row r="426" spans="1:2" ht="12.75">
      <c r="A426">
        <f t="shared" si="112"/>
        <v>1998</v>
      </c>
      <c r="B426" s="712">
        <v>0</v>
      </c>
    </row>
    <row r="427" spans="1:2" ht="12.75">
      <c r="A427">
        <f t="shared" si="112"/>
        <v>1997</v>
      </c>
      <c r="B427" s="712">
        <v>0</v>
      </c>
    </row>
    <row r="428" spans="1:2" ht="12.75">
      <c r="A428">
        <f t="shared" si="112"/>
        <v>1996</v>
      </c>
      <c r="B428" s="712">
        <v>0</v>
      </c>
    </row>
    <row r="429" spans="1:2" ht="12.75">
      <c r="A429">
        <f t="shared" si="112"/>
        <v>1995</v>
      </c>
      <c r="B429" s="712">
        <v>0</v>
      </c>
    </row>
    <row r="430" spans="1:2" ht="12.75">
      <c r="A430">
        <f t="shared" si="112"/>
        <v>1994</v>
      </c>
      <c r="B430" s="712">
        <v>0</v>
      </c>
    </row>
    <row r="431" spans="1:2" ht="12.75">
      <c r="A431">
        <f t="shared" si="112"/>
        <v>1993</v>
      </c>
      <c r="B431" s="712">
        <v>0</v>
      </c>
    </row>
    <row r="432" spans="1:2" ht="12.75">
      <c r="A432">
        <f t="shared" si="112"/>
        <v>1992</v>
      </c>
      <c r="B432" s="712">
        <v>0</v>
      </c>
    </row>
    <row r="433" spans="1:2" ht="12.75">
      <c r="A433">
        <f t="shared" si="112"/>
        <v>1991</v>
      </c>
      <c r="B433" s="712">
        <v>0</v>
      </c>
    </row>
    <row r="434" spans="1:2" ht="12.75">
      <c r="A434">
        <f t="shared" si="112"/>
        <v>1990</v>
      </c>
      <c r="B434" s="712">
        <v>0</v>
      </c>
    </row>
    <row r="435" spans="1:2" ht="12.75">
      <c r="A435">
        <f t="shared" si="112"/>
        <v>1989</v>
      </c>
      <c r="B435" s="712">
        <v>0</v>
      </c>
    </row>
    <row r="436" spans="1:2" ht="12.75">
      <c r="A436">
        <f t="shared" si="112"/>
        <v>1988</v>
      </c>
      <c r="B436" s="712">
        <v>0</v>
      </c>
    </row>
    <row r="437" spans="1:2" ht="12.75">
      <c r="A437">
        <f t="shared" si="112"/>
        <v>1987</v>
      </c>
      <c r="B437" s="712">
        <v>0</v>
      </c>
    </row>
    <row r="438" spans="1:2" ht="12.75">
      <c r="A438">
        <f t="shared" si="112"/>
        <v>1986</v>
      </c>
      <c r="B438" s="712">
        <v>0</v>
      </c>
    </row>
    <row r="439" spans="1:2" ht="12.75">
      <c r="A439">
        <f t="shared" si="112"/>
        <v>1985</v>
      </c>
      <c r="B439" s="712">
        <v>0</v>
      </c>
    </row>
    <row r="440" spans="1:2" ht="12.75">
      <c r="A440">
        <f t="shared" si="112"/>
        <v>1984</v>
      </c>
      <c r="B440" s="712">
        <v>0</v>
      </c>
    </row>
    <row r="441" spans="1:2" ht="12.75">
      <c r="A441">
        <f t="shared" si="112"/>
        <v>1983</v>
      </c>
      <c r="B441" s="712">
        <v>0</v>
      </c>
    </row>
    <row r="442" spans="1:2" ht="12.75">
      <c r="A442">
        <f t="shared" si="112"/>
        <v>1982</v>
      </c>
      <c r="B442" s="712">
        <v>0</v>
      </c>
    </row>
    <row r="443" spans="1:2" ht="12.75">
      <c r="A443">
        <f t="shared" si="112"/>
        <v>1981</v>
      </c>
      <c r="B443" s="712">
        <v>0</v>
      </c>
    </row>
    <row r="444" spans="1:2" ht="12.75">
      <c r="A444">
        <f t="shared" si="112"/>
        <v>1980</v>
      </c>
      <c r="B444" s="712">
        <v>0</v>
      </c>
    </row>
    <row r="445" spans="1:2" ht="12.75">
      <c r="A445">
        <f t="shared" si="112"/>
        <v>1979</v>
      </c>
      <c r="B445" s="712">
        <v>0</v>
      </c>
    </row>
    <row r="446" spans="1:2" ht="12.75">
      <c r="A446">
        <f t="shared" si="112"/>
        <v>1978</v>
      </c>
      <c r="B446" s="712">
        <v>0</v>
      </c>
    </row>
    <row r="447" spans="1:2" ht="12.75">
      <c r="A447">
        <f t="shared" si="112"/>
        <v>1977</v>
      </c>
      <c r="B447" s="712">
        <v>0</v>
      </c>
    </row>
    <row r="448" spans="1:2" ht="12.75">
      <c r="A448">
        <f t="shared" si="112"/>
        <v>1976</v>
      </c>
      <c r="B448" s="712">
        <v>0</v>
      </c>
    </row>
    <row r="449" spans="1:2" ht="12.75">
      <c r="A449">
        <f t="shared" si="112"/>
        <v>1975</v>
      </c>
      <c r="B449" s="712">
        <v>0</v>
      </c>
    </row>
    <row r="450" spans="1:2" ht="12.75">
      <c r="A450">
        <f t="shared" si="112"/>
        <v>1974</v>
      </c>
      <c r="B450" s="712">
        <v>0</v>
      </c>
    </row>
    <row r="451" spans="1:2" ht="12.75">
      <c r="A451">
        <f t="shared" si="112"/>
        <v>1973</v>
      </c>
      <c r="B451" s="712">
        <v>0</v>
      </c>
    </row>
    <row r="452" spans="1:2" ht="12.75">
      <c r="A452">
        <f t="shared" si="112"/>
        <v>1972</v>
      </c>
      <c r="B452" s="712">
        <v>0</v>
      </c>
    </row>
    <row r="453" spans="1:2" ht="12.75">
      <c r="A453">
        <f t="shared" si="112"/>
        <v>1971</v>
      </c>
      <c r="B453" s="712">
        <v>0</v>
      </c>
    </row>
    <row r="454" spans="1:2" ht="12.75">
      <c r="A454">
        <f t="shared" si="112"/>
        <v>1970</v>
      </c>
      <c r="B454" s="712">
        <v>0</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W82"/>
  <sheetViews>
    <sheetView workbookViewId="0" topLeftCell="A1">
      <selection activeCell="C5" sqref="C5"/>
    </sheetView>
  </sheetViews>
  <sheetFormatPr defaultColWidth="9.140625" defaultRowHeight="12.75"/>
  <cols>
    <col min="1" max="1" width="15.7109375" style="0" customWidth="1"/>
    <col min="2" max="2" width="13.140625" style="0" customWidth="1"/>
    <col min="3" max="3" width="11.421875" style="0" customWidth="1"/>
    <col min="4" max="4" width="16.28125" style="0" customWidth="1"/>
    <col min="5" max="5" width="17.140625" style="0" customWidth="1"/>
    <col min="6" max="6" width="11.421875" style="0" customWidth="1"/>
    <col min="7" max="7" width="16.421875" style="0" customWidth="1"/>
    <col min="8" max="8" width="14.00390625" style="0" customWidth="1"/>
    <col min="9" max="9" width="11.421875" style="0" customWidth="1"/>
    <col min="10" max="10" width="12.421875" style="0" customWidth="1"/>
    <col min="11" max="11" width="11.421875" style="0" customWidth="1"/>
    <col min="12" max="12" width="12.421875" style="0" customWidth="1"/>
    <col min="13" max="14" width="11.421875" style="0" customWidth="1"/>
    <col min="15" max="15" width="9.8515625" style="0" customWidth="1"/>
    <col min="16" max="16" width="13.140625" style="0" customWidth="1"/>
    <col min="17" max="17" width="17.28125" style="0" customWidth="1"/>
    <col min="18" max="18" width="15.28125" style="0" customWidth="1"/>
    <col min="19" max="19" width="16.421875" style="0" customWidth="1"/>
    <col min="20" max="20" width="16.28125" style="0" customWidth="1"/>
    <col min="21" max="21" width="20.8515625" style="0" customWidth="1"/>
    <col min="22" max="22" width="15.7109375" style="0" customWidth="1"/>
    <col min="23" max="23" width="14.421875" style="0" customWidth="1"/>
    <col min="24" max="26" width="13.140625" style="0" customWidth="1"/>
    <col min="27" max="27" width="13.421875" style="0" customWidth="1"/>
    <col min="28" max="28" width="16.421875" style="0" customWidth="1"/>
    <col min="29" max="29" width="11.421875" style="0" customWidth="1"/>
    <col min="30" max="30" width="18.00390625" style="0" customWidth="1"/>
    <col min="31" max="31" width="15.00390625" style="0" customWidth="1"/>
    <col min="32" max="33" width="11.7109375" style="0" customWidth="1"/>
    <col min="34" max="34" width="11.8515625" style="0" customWidth="1"/>
    <col min="35" max="35" width="14.00390625" style="0" customWidth="1"/>
    <col min="36" max="36" width="17.421875" style="0" customWidth="1"/>
    <col min="37" max="37" width="8.8515625" style="0" customWidth="1"/>
    <col min="38" max="38" width="13.28125" style="0" customWidth="1"/>
    <col min="39" max="39" width="12.28125" style="0" customWidth="1"/>
    <col min="40" max="16384" width="8.8515625" style="0" customWidth="1"/>
  </cols>
  <sheetData>
    <row r="1" spans="2:38" ht="48" customHeight="1" thickBot="1">
      <c r="B1" s="759" t="s">
        <v>76</v>
      </c>
      <c r="C1" s="759"/>
      <c r="D1" s="760"/>
      <c r="E1" s="760"/>
      <c r="F1" s="760"/>
      <c r="G1" s="760"/>
      <c r="H1" s="760"/>
      <c r="I1" s="760"/>
      <c r="J1" s="760"/>
      <c r="K1" s="760"/>
      <c r="L1" s="760"/>
      <c r="W1" s="1"/>
      <c r="X1" s="1"/>
      <c r="Y1" s="1"/>
      <c r="Z1" s="1"/>
      <c r="AA1" s="1"/>
      <c r="AB1" s="1"/>
      <c r="AG1" s="1"/>
      <c r="AH1" s="751"/>
      <c r="AI1" s="751"/>
      <c r="AJ1" s="1"/>
      <c r="AK1" s="751"/>
      <c r="AL1" s="751"/>
    </row>
    <row r="2" spans="2:37" ht="51" customHeight="1">
      <c r="B2" s="35" t="s">
        <v>77</v>
      </c>
      <c r="C2" s="36">
        <v>2005</v>
      </c>
      <c r="D2" s="36">
        <v>2010</v>
      </c>
      <c r="E2" s="36">
        <v>2020</v>
      </c>
      <c r="F2" s="36">
        <v>2030</v>
      </c>
      <c r="G2" s="37"/>
      <c r="H2" s="35" t="s">
        <v>78</v>
      </c>
      <c r="I2" s="36">
        <v>2005</v>
      </c>
      <c r="J2" s="36">
        <v>2010</v>
      </c>
      <c r="K2" s="36">
        <v>2020</v>
      </c>
      <c r="L2" s="36">
        <v>2030</v>
      </c>
      <c r="M2" s="1"/>
      <c r="W2" s="1"/>
      <c r="X2" s="1"/>
      <c r="Y2" s="1"/>
      <c r="Z2" s="1"/>
      <c r="AA2" s="1"/>
      <c r="AB2" s="1"/>
      <c r="AG2" s="1"/>
      <c r="AH2" s="27"/>
      <c r="AI2" s="15"/>
      <c r="AJ2" s="1"/>
      <c r="AK2" s="38"/>
    </row>
    <row r="3" spans="2:37" ht="47.25" customHeight="1">
      <c r="B3" s="39" t="s">
        <v>79</v>
      </c>
      <c r="C3" s="40">
        <v>2.696378986</v>
      </c>
      <c r="D3" s="40">
        <v>2.823</v>
      </c>
      <c r="E3" s="40">
        <v>2.823</v>
      </c>
      <c r="F3" s="40">
        <v>3.333</v>
      </c>
      <c r="G3" s="19"/>
      <c r="H3" s="39" t="s">
        <v>79</v>
      </c>
      <c r="I3" s="40">
        <f>C3*(1-$B35)</f>
        <v>2.696378986</v>
      </c>
      <c r="J3" s="40" t="s">
        <v>80</v>
      </c>
      <c r="K3" s="40">
        <f>E7+('Petrol Reduction'!B30/1000)+(E9-K4)*(I36/(I35*I37))</f>
        <v>3.3886408698717947</v>
      </c>
      <c r="L3" s="40">
        <f>F7+('Petrol Reduction'!G30/1000)+(F9-L4)*(I36/(I35*I37))</f>
        <v>5.347658003150737</v>
      </c>
      <c r="M3" s="1"/>
      <c r="S3" s="757"/>
      <c r="T3" s="757"/>
      <c r="U3" s="757"/>
      <c r="V3" s="757"/>
      <c r="W3" s="476"/>
      <c r="X3" s="259"/>
      <c r="AG3" s="1"/>
      <c r="AH3" s="15"/>
      <c r="AI3" s="15"/>
      <c r="AJ3" s="1"/>
      <c r="AK3" s="1"/>
    </row>
    <row r="4" spans="2:37" ht="25.5" customHeight="1">
      <c r="B4" s="39" t="s">
        <v>81</v>
      </c>
      <c r="C4" s="40">
        <v>4.5485989798</v>
      </c>
      <c r="D4" s="40">
        <v>4.5485989798</v>
      </c>
      <c r="E4" s="40">
        <v>5.4205</v>
      </c>
      <c r="F4" s="40">
        <v>7.0027</v>
      </c>
      <c r="G4" s="19"/>
      <c r="H4" s="39" t="s">
        <v>81</v>
      </c>
      <c r="I4" s="40">
        <f>C4*(1-$B35)</f>
        <v>4.5485989798</v>
      </c>
      <c r="J4" s="40" t="s">
        <v>80</v>
      </c>
      <c r="K4" s="40">
        <v>3</v>
      </c>
      <c r="L4" s="40">
        <v>1</v>
      </c>
      <c r="M4" s="1"/>
      <c r="S4" s="477"/>
      <c r="T4" s="478"/>
      <c r="U4" s="478"/>
      <c r="V4" s="478"/>
      <c r="W4" s="478"/>
      <c r="X4" s="259"/>
      <c r="AG4" s="1"/>
      <c r="AH4" s="15"/>
      <c r="AI4" s="15"/>
      <c r="AJ4" s="1"/>
      <c r="AK4" s="1"/>
    </row>
    <row r="5" spans="2:37" ht="42.75" customHeight="1">
      <c r="B5" s="39" t="s">
        <v>146</v>
      </c>
      <c r="C5" s="40">
        <f>(('Petrol Reduction'!C5)+('Petrol Reduction'!K5)+('Petrol Reduction'!T5))/1000</f>
        <v>8.2163310217</v>
      </c>
      <c r="D5" s="40">
        <f>(('Petrol Reduction'!D5)+('Petrol Reduction'!L5)+('Petrol Reduction'!U5))/1000</f>
        <v>8.29081396236487</v>
      </c>
      <c r="E5" s="40">
        <f>('Petrol Reduction'!F5+'Petrol Reduction'!N5+'Petrol Reduction'!W5)/1000</f>
        <v>9.696787420220124</v>
      </c>
      <c r="F5" s="40">
        <f>(('Petrol Reduction'!H5)+('Petrol Reduction'!P5)+('Petrol Reduction'!Y5))/1000</f>
        <v>11.179251406766408</v>
      </c>
      <c r="G5" s="41"/>
      <c r="H5" s="39" t="s">
        <v>146</v>
      </c>
      <c r="I5" s="40">
        <f>C5-0</f>
        <v>8.2163310217</v>
      </c>
      <c r="J5" s="40" t="s">
        <v>80</v>
      </c>
      <c r="K5" s="40">
        <f>E5*(1-'Petrol Reduction'!D29)</f>
        <v>5.078026708229398</v>
      </c>
      <c r="L5" s="40">
        <f>F5*(1-'Petrol Reduction'!I29)</f>
        <v>2.1080534456293356</v>
      </c>
      <c r="M5" s="1"/>
      <c r="S5" s="477"/>
      <c r="T5" s="479"/>
      <c r="U5" s="480"/>
      <c r="V5" s="479"/>
      <c r="W5" s="479"/>
      <c r="X5" s="259"/>
      <c r="AG5" s="1"/>
      <c r="AH5" s="15"/>
      <c r="AI5" s="15"/>
      <c r="AJ5" s="1"/>
      <c r="AK5" s="1"/>
    </row>
    <row r="6" spans="2:37" ht="39.75" customHeight="1">
      <c r="B6" s="42" t="s">
        <v>58</v>
      </c>
      <c r="C6" s="43">
        <f>SUM(C3:C5)</f>
        <v>15.4613089875</v>
      </c>
      <c r="D6" s="43">
        <f>SUM(D3:D5)</f>
        <v>15.66241294216487</v>
      </c>
      <c r="E6" s="43">
        <f>SUM(E3:E5)</f>
        <v>17.940287420220123</v>
      </c>
      <c r="F6" s="43">
        <f>SUM(F3:F5)</f>
        <v>21.514951406766407</v>
      </c>
      <c r="G6" s="41"/>
      <c r="H6" s="42" t="s">
        <v>58</v>
      </c>
      <c r="I6" s="43">
        <f>SUM(I3:I5)</f>
        <v>15.4613089875</v>
      </c>
      <c r="J6" s="43" t="s">
        <v>80</v>
      </c>
      <c r="K6" s="43">
        <f>SUM(K3:K5)</f>
        <v>11.466667578101193</v>
      </c>
      <c r="L6" s="43">
        <f>SUM(L3:L5)</f>
        <v>8.455711448780072</v>
      </c>
      <c r="M6" s="44"/>
      <c r="S6" s="477"/>
      <c r="T6" s="479"/>
      <c r="U6" s="480"/>
      <c r="V6" s="479"/>
      <c r="W6" s="479"/>
      <c r="X6" s="259"/>
      <c r="AJ6" s="1"/>
      <c r="AK6" s="1"/>
    </row>
    <row r="7" spans="1:37" ht="49.5" customHeight="1">
      <c r="A7" s="758" t="s">
        <v>124</v>
      </c>
      <c r="B7" s="39" t="s">
        <v>79</v>
      </c>
      <c r="C7" s="40">
        <f>C3</f>
        <v>2.696378986</v>
      </c>
      <c r="D7" s="40"/>
      <c r="E7" s="40">
        <f>E3*(1-(B37*(F35+F36+(F37*D37))))</f>
        <v>2.302452915</v>
      </c>
      <c r="F7" s="40">
        <f>F3*(1-(B38*(F35+F36+(D38*F37))))</f>
        <v>2.4111171975</v>
      </c>
      <c r="G7" s="45"/>
      <c r="H7" s="46" t="s">
        <v>125</v>
      </c>
      <c r="I7" s="40">
        <f>F14+F13+F18</f>
        <v>0.5535000000000001</v>
      </c>
      <c r="J7" s="47" t="s">
        <v>80</v>
      </c>
      <c r="K7" s="40">
        <f>K42-F42-D42</f>
        <v>3.477326</v>
      </c>
      <c r="L7" s="48">
        <f>K43-F43-D43</f>
        <v>9.479946</v>
      </c>
      <c r="M7" s="49"/>
      <c r="S7" s="477"/>
      <c r="T7" s="479"/>
      <c r="U7" s="479"/>
      <c r="V7" s="479"/>
      <c r="W7" s="479"/>
      <c r="X7" s="259"/>
      <c r="AJ7" s="1"/>
      <c r="AK7" s="1"/>
    </row>
    <row r="8" spans="1:37" ht="69.75" customHeight="1">
      <c r="A8" s="758"/>
      <c r="B8" s="39" t="s">
        <v>126</v>
      </c>
      <c r="C8" s="40">
        <f>C4</f>
        <v>4.5485989798</v>
      </c>
      <c r="D8" s="40"/>
      <c r="E8" s="40">
        <f>E4*(1-(B37*(G35+G36+(D37*G37))))</f>
        <v>4.4291718575</v>
      </c>
      <c r="F8" s="40">
        <f>F4*(1-(B38*(G35+G36+(D38*G37))))</f>
        <v>5.081666815749999</v>
      </c>
      <c r="G8" s="45"/>
      <c r="H8" s="533" t="s">
        <v>416</v>
      </c>
      <c r="I8" s="534">
        <f>I3-I7</f>
        <v>2.142878986</v>
      </c>
      <c r="J8" s="534"/>
      <c r="K8" s="534">
        <f>K3-K7</f>
        <v>-0.08868513012820545</v>
      </c>
      <c r="L8" s="534">
        <f>L3-L7</f>
        <v>-4.132287996849263</v>
      </c>
      <c r="M8" s="49"/>
      <c r="S8" s="477"/>
      <c r="T8" s="479"/>
      <c r="U8" s="479"/>
      <c r="V8" s="479"/>
      <c r="W8" s="479"/>
      <c r="X8" s="259"/>
      <c r="AJ8" s="26"/>
      <c r="AK8" s="1"/>
    </row>
    <row r="9" spans="1:37" ht="39" customHeight="1">
      <c r="A9" s="368" t="s">
        <v>127</v>
      </c>
      <c r="B9" s="42" t="s">
        <v>126</v>
      </c>
      <c r="C9" s="43">
        <f>C8</f>
        <v>4.5485989798</v>
      </c>
      <c r="D9" s="369"/>
      <c r="E9" s="43">
        <f>E8-((D42+F42)*I35/I36)</f>
        <v>3.8673088399614537</v>
      </c>
      <c r="F9" s="43">
        <f>F8-((D43+F43)*I35/I36)</f>
        <v>3.875228555507281</v>
      </c>
      <c r="G9" s="50"/>
      <c r="H9" s="535" t="s">
        <v>426</v>
      </c>
      <c r="I9" s="536" t="s">
        <v>424</v>
      </c>
      <c r="J9" s="535"/>
      <c r="K9" s="535">
        <f>K8+L12</f>
        <v>5.752495579330011</v>
      </c>
      <c r="L9" s="536">
        <f>L8+L13</f>
        <v>-1.854129453231677</v>
      </c>
      <c r="M9" s="49"/>
      <c r="S9" s="477"/>
      <c r="T9" s="479"/>
      <c r="U9" s="479"/>
      <c r="V9" s="479"/>
      <c r="W9" s="479"/>
      <c r="X9" s="259"/>
      <c r="AJ9" s="367"/>
      <c r="AK9" s="1"/>
    </row>
    <row r="10" spans="1:37" ht="39" customHeight="1">
      <c r="A10" s="370"/>
      <c r="B10" s="371"/>
      <c r="C10" s="372"/>
      <c r="D10" s="373"/>
      <c r="E10" s="372"/>
      <c r="F10" s="372"/>
      <c r="G10" s="50"/>
      <c r="H10" s="49"/>
      <c r="I10" s="50"/>
      <c r="J10" s="49"/>
      <c r="K10" s="49"/>
      <c r="L10" s="50"/>
      <c r="M10" s="49"/>
      <c r="S10" s="477"/>
      <c r="T10" s="479"/>
      <c r="U10" s="481"/>
      <c r="V10" s="479"/>
      <c r="W10" s="479"/>
      <c r="X10" s="259"/>
      <c r="AJ10" s="367"/>
      <c r="AK10" s="1"/>
    </row>
    <row r="11" spans="1:37" ht="39" customHeight="1">
      <c r="A11" s="1"/>
      <c r="B11" s="52"/>
      <c r="C11" s="563" t="s">
        <v>419</v>
      </c>
      <c r="D11" s="563" t="s">
        <v>420</v>
      </c>
      <c r="E11" s="564" t="s">
        <v>421</v>
      </c>
      <c r="F11" s="565" t="s">
        <v>422</v>
      </c>
      <c r="G11" s="566" t="s">
        <v>128</v>
      </c>
      <c r="H11" s="557" t="s">
        <v>129</v>
      </c>
      <c r="I11" s="525" t="s">
        <v>130</v>
      </c>
      <c r="K11" s="554" t="s">
        <v>33</v>
      </c>
      <c r="L11" s="554" t="s">
        <v>34</v>
      </c>
      <c r="M11" s="555"/>
      <c r="S11" s="477"/>
      <c r="T11" s="479"/>
      <c r="U11" s="479"/>
      <c r="V11" s="479"/>
      <c r="W11" s="479"/>
      <c r="X11" s="448"/>
      <c r="AJ11" s="367"/>
      <c r="AK11" s="1"/>
    </row>
    <row r="12" spans="1:37" ht="30" customHeight="1">
      <c r="A12" s="1"/>
      <c r="B12" s="523" t="s">
        <v>131</v>
      </c>
      <c r="C12" s="558">
        <v>0.05</v>
      </c>
      <c r="D12" s="559">
        <v>0.02</v>
      </c>
      <c r="E12" s="560">
        <f aca="true" t="shared" si="0" ref="E12:E20">SUM(C12:D12)/2</f>
        <v>0.035</v>
      </c>
      <c r="F12" s="561">
        <f aca="true" t="shared" si="1" ref="F12:F20">2.7*E12</f>
        <v>0.09450000000000001</v>
      </c>
      <c r="G12" s="562">
        <v>0.09450000000000001</v>
      </c>
      <c r="H12" s="449">
        <v>0.09450000000000001</v>
      </c>
      <c r="I12" s="526">
        <v>0.09450000000000001</v>
      </c>
      <c r="K12" s="555">
        <v>2020</v>
      </c>
      <c r="L12" s="556">
        <f>(K4+(K5*'Energy Cost'!L20/'Energy Cost'!L19))*'Energy Cost'!L24/'Energy Cost'!L27</f>
        <v>5.841180709458216</v>
      </c>
      <c r="M12" s="555" t="s">
        <v>35</v>
      </c>
      <c r="S12" s="477"/>
      <c r="T12" s="482"/>
      <c r="U12" s="482"/>
      <c r="V12" s="482"/>
      <c r="W12" s="482"/>
      <c r="X12" s="259"/>
      <c r="AJ12" s="367"/>
      <c r="AK12" s="1"/>
    </row>
    <row r="13" spans="1:37" ht="36" customHeight="1">
      <c r="A13" s="1"/>
      <c r="B13" s="522" t="s">
        <v>8</v>
      </c>
      <c r="C13" s="55">
        <v>0.02</v>
      </c>
      <c r="D13" s="55">
        <v>0.09</v>
      </c>
      <c r="E13" s="56">
        <f t="shared" si="0"/>
        <v>0.055</v>
      </c>
      <c r="F13" s="57">
        <f t="shared" si="1"/>
        <v>0.14850000000000002</v>
      </c>
      <c r="G13" s="58">
        <v>0.14850000000000002</v>
      </c>
      <c r="H13" s="449">
        <v>0.14850000000000002</v>
      </c>
      <c r="I13" s="526">
        <v>0.14850000000000002</v>
      </c>
      <c r="K13" s="555">
        <v>2030</v>
      </c>
      <c r="L13" s="556">
        <f>(L4+(L5*'Energy Cost'!L20/'Energy Cost'!L19))*'Energy Cost'!L24/'Energy Cost'!L27</f>
        <v>2.2781585436175864</v>
      </c>
      <c r="M13" s="554" t="s">
        <v>35</v>
      </c>
      <c r="W13" s="1"/>
      <c r="AJ13" s="367"/>
      <c r="AK13" s="1"/>
    </row>
    <row r="14" spans="1:37" ht="36" customHeight="1">
      <c r="A14" s="1"/>
      <c r="B14" s="54" t="s">
        <v>9</v>
      </c>
      <c r="C14" s="55">
        <v>0.04</v>
      </c>
      <c r="D14" s="55">
        <v>0.01</v>
      </c>
      <c r="E14" s="56">
        <f t="shared" si="0"/>
        <v>0.025</v>
      </c>
      <c r="F14" s="57">
        <f t="shared" si="1"/>
        <v>0.0675</v>
      </c>
      <c r="G14" s="58">
        <v>0.0675</v>
      </c>
      <c r="H14" s="449">
        <v>0.0675</v>
      </c>
      <c r="I14" s="526">
        <v>0.0675</v>
      </c>
      <c r="W14" s="1"/>
      <c r="X14" s="1"/>
      <c r="Y14" s="1"/>
      <c r="Z14" s="1"/>
      <c r="AA14" s="1"/>
      <c r="AB14" s="1"/>
      <c r="AC14" s="1"/>
      <c r="AD14" s="1"/>
      <c r="AE14" s="1"/>
      <c r="AF14" s="1"/>
      <c r="AG14" s="1"/>
      <c r="AH14" s="1"/>
      <c r="AI14" s="1"/>
      <c r="AJ14" s="1"/>
      <c r="AK14" s="1"/>
    </row>
    <row r="15" spans="1:37" ht="45.75" customHeight="1">
      <c r="A15" s="1"/>
      <c r="B15" s="54" t="s">
        <v>10</v>
      </c>
      <c r="C15" s="55">
        <v>0.01</v>
      </c>
      <c r="D15" s="55">
        <v>0.01</v>
      </c>
      <c r="E15" s="56">
        <f t="shared" si="0"/>
        <v>0.01</v>
      </c>
      <c r="F15" s="57">
        <f t="shared" si="1"/>
        <v>0.027000000000000003</v>
      </c>
      <c r="G15" s="58">
        <v>0.027000000000000003</v>
      </c>
      <c r="H15" s="449">
        <v>0.027000000000000003</v>
      </c>
      <c r="I15" s="526">
        <v>0.027000000000000003</v>
      </c>
      <c r="W15" s="1"/>
      <c r="X15" s="1"/>
      <c r="Y15" s="1"/>
      <c r="Z15" s="1"/>
      <c r="AA15" s="1"/>
      <c r="AB15" s="1"/>
      <c r="AC15" s="1"/>
      <c r="AD15" s="1"/>
      <c r="AE15" s="1"/>
      <c r="AF15" s="1"/>
      <c r="AG15" s="1"/>
      <c r="AH15" s="1"/>
      <c r="AI15" s="1"/>
      <c r="AJ15" s="1"/>
      <c r="AK15" s="1"/>
    </row>
    <row r="16" spans="1:37" ht="55.5" customHeight="1">
      <c r="A16" s="1"/>
      <c r="B16" s="54" t="s">
        <v>11</v>
      </c>
      <c r="C16" s="55">
        <v>0.01</v>
      </c>
      <c r="D16" s="55">
        <v>0.03</v>
      </c>
      <c r="E16" s="56">
        <f t="shared" si="0"/>
        <v>0.02</v>
      </c>
      <c r="F16" s="57">
        <f t="shared" si="1"/>
        <v>0.054000000000000006</v>
      </c>
      <c r="G16" s="58">
        <v>0.054000000000000006</v>
      </c>
      <c r="H16" s="449">
        <v>0.054000000000000006</v>
      </c>
      <c r="I16" s="526">
        <v>0.054000000000000006</v>
      </c>
      <c r="W16" s="1"/>
      <c r="X16" s="1"/>
      <c r="Y16" s="1"/>
      <c r="Z16" s="1"/>
      <c r="AA16" s="1"/>
      <c r="AB16" s="1"/>
      <c r="AC16" s="1"/>
      <c r="AD16" s="1"/>
      <c r="AE16" s="1"/>
      <c r="AF16" s="1"/>
      <c r="AG16" s="1"/>
      <c r="AH16" s="1"/>
      <c r="AI16" s="1"/>
      <c r="AJ16" s="1"/>
      <c r="AK16" s="1"/>
    </row>
    <row r="17" spans="1:37" ht="39" customHeight="1">
      <c r="A17" s="1"/>
      <c r="B17" s="54" t="s">
        <v>12</v>
      </c>
      <c r="C17" s="55">
        <v>0.01</v>
      </c>
      <c r="D17" s="55">
        <v>0.08</v>
      </c>
      <c r="E17" s="56">
        <f t="shared" si="0"/>
        <v>0.045</v>
      </c>
      <c r="F17" s="57">
        <f t="shared" si="1"/>
        <v>0.1215</v>
      </c>
      <c r="G17" s="58">
        <v>0.1215</v>
      </c>
      <c r="H17" s="449">
        <v>0.1215</v>
      </c>
      <c r="I17" s="526">
        <v>0.1215</v>
      </c>
      <c r="W17" s="1"/>
      <c r="X17" s="1"/>
      <c r="Y17" s="1"/>
      <c r="Z17" s="1"/>
      <c r="AA17" s="1"/>
      <c r="AB17" s="1"/>
      <c r="AC17" s="1"/>
      <c r="AD17" s="1"/>
      <c r="AE17" s="1"/>
      <c r="AF17" s="1"/>
      <c r="AG17" s="1"/>
      <c r="AH17" s="1"/>
      <c r="AI17" s="1"/>
      <c r="AJ17" s="1"/>
      <c r="AK17" s="1"/>
    </row>
    <row r="18" spans="1:37" ht="12.75">
      <c r="A18" s="1"/>
      <c r="B18" s="54" t="s">
        <v>13</v>
      </c>
      <c r="C18" s="55">
        <v>0.2</v>
      </c>
      <c r="D18" s="55">
        <v>0.05</v>
      </c>
      <c r="E18" s="56">
        <f t="shared" si="0"/>
        <v>0.125</v>
      </c>
      <c r="F18" s="57">
        <f t="shared" si="1"/>
        <v>0.3375</v>
      </c>
      <c r="G18" s="58">
        <v>0.3375</v>
      </c>
      <c r="H18" s="449">
        <v>0.3375</v>
      </c>
      <c r="I18" s="526">
        <v>0.3375</v>
      </c>
      <c r="W18" s="1"/>
      <c r="X18" s="1"/>
      <c r="Y18" s="1"/>
      <c r="Z18" s="1"/>
      <c r="AA18" s="1"/>
      <c r="AB18" s="1"/>
      <c r="AC18" s="1"/>
      <c r="AD18" s="1"/>
      <c r="AE18" s="1"/>
      <c r="AF18" s="1"/>
      <c r="AG18" s="1"/>
      <c r="AH18" s="1"/>
      <c r="AI18" s="1"/>
      <c r="AJ18" s="1"/>
      <c r="AK18" s="1"/>
    </row>
    <row r="19" spans="1:37" ht="12.75">
      <c r="A19" s="1"/>
      <c r="B19" s="54" t="s">
        <v>81</v>
      </c>
      <c r="C19" s="55">
        <v>0.42</v>
      </c>
      <c r="D19" s="55">
        <v>0.54</v>
      </c>
      <c r="E19" s="56">
        <f t="shared" si="0"/>
        <v>0.48</v>
      </c>
      <c r="F19" s="57">
        <f t="shared" si="1"/>
        <v>1.296</v>
      </c>
      <c r="G19" s="58">
        <f>F19+D3-C3</f>
        <v>1.4226210139999997</v>
      </c>
      <c r="H19" s="449">
        <f>F19+E3-C3</f>
        <v>1.4226210139999997</v>
      </c>
      <c r="I19" s="526">
        <f>F19+F3-C3</f>
        <v>1.9326210140000004</v>
      </c>
      <c r="W19" s="1"/>
      <c r="X19" s="1"/>
      <c r="Y19" s="1"/>
      <c r="Z19" s="1"/>
      <c r="AA19" s="1"/>
      <c r="AB19" s="1"/>
      <c r="AC19" s="1"/>
      <c r="AD19" s="1"/>
      <c r="AE19" s="1"/>
      <c r="AF19" s="1"/>
      <c r="AG19" s="1"/>
      <c r="AH19" s="1"/>
      <c r="AI19" s="1"/>
      <c r="AJ19" s="1"/>
      <c r="AK19" s="1"/>
    </row>
    <row r="20" spans="1:37" ht="12.75">
      <c r="A20" s="1"/>
      <c r="B20" s="54" t="s">
        <v>14</v>
      </c>
      <c r="C20" s="55">
        <v>0.24</v>
      </c>
      <c r="D20" s="55">
        <v>0.17</v>
      </c>
      <c r="E20" s="56">
        <f t="shared" si="0"/>
        <v>0.20500000000000002</v>
      </c>
      <c r="F20" s="57">
        <f t="shared" si="1"/>
        <v>0.5535000000000001</v>
      </c>
      <c r="G20" s="58">
        <v>0.5535000000000001</v>
      </c>
      <c r="H20" s="449">
        <v>0.5535000000000001</v>
      </c>
      <c r="I20" s="526">
        <v>0.5535000000000001</v>
      </c>
      <c r="W20" s="1"/>
      <c r="X20" s="1"/>
      <c r="Y20" s="1"/>
      <c r="Z20" s="1"/>
      <c r="AA20" s="1"/>
      <c r="AB20" s="1"/>
      <c r="AC20" s="1"/>
      <c r="AD20" s="1"/>
      <c r="AE20" s="1"/>
      <c r="AF20" s="1"/>
      <c r="AG20" s="1"/>
      <c r="AH20" s="1"/>
      <c r="AI20" s="1"/>
      <c r="AJ20" s="1"/>
      <c r="AK20" s="1"/>
    </row>
    <row r="21" spans="1:9" ht="25.5" customHeight="1">
      <c r="A21" s="1"/>
      <c r="B21" s="474"/>
      <c r="C21" s="475"/>
      <c r="E21" s="527">
        <f>SUM(E12:E20)</f>
        <v>1</v>
      </c>
      <c r="F21" s="528">
        <f>SUM(F12:F20)</f>
        <v>2.7</v>
      </c>
      <c r="G21" s="529">
        <f>SUM(G12:G20)</f>
        <v>2.826621014</v>
      </c>
      <c r="H21" s="530">
        <f>SUM(H12:H20)</f>
        <v>2.826621014</v>
      </c>
      <c r="I21" s="531">
        <f>SUM(I12:I20)</f>
        <v>3.3366210140000008</v>
      </c>
    </row>
    <row r="22" spans="1:21" ht="38.25">
      <c r="A22" s="1"/>
      <c r="B22" s="494"/>
      <c r="C22" s="495"/>
      <c r="E22" s="524" t="s">
        <v>425</v>
      </c>
      <c r="F22" s="532">
        <f>F21-C3</f>
        <v>0.0036210140000001445</v>
      </c>
      <c r="G22" s="532">
        <f>G21-D3</f>
        <v>0.0036210140000001445</v>
      </c>
      <c r="H22" s="532">
        <f>H21-E3</f>
        <v>0.0036210140000001445</v>
      </c>
      <c r="I22" s="532">
        <f>I21-F3</f>
        <v>0.0036210140000005886</v>
      </c>
      <c r="J22" s="49"/>
      <c r="K22" s="49"/>
      <c r="L22" s="50"/>
      <c r="M22" s="49"/>
      <c r="N22" s="1"/>
      <c r="O22" s="1"/>
      <c r="P22" s="524" t="s">
        <v>151</v>
      </c>
      <c r="Q22" s="524" t="s">
        <v>152</v>
      </c>
      <c r="R22" s="524">
        <v>0.11</v>
      </c>
      <c r="S22" s="524" t="s">
        <v>30</v>
      </c>
      <c r="T22" s="20"/>
      <c r="U22" s="1"/>
    </row>
    <row r="23" spans="1:21" ht="12.75">
      <c r="A23" s="1"/>
      <c r="B23" s="27"/>
      <c r="C23" s="27"/>
      <c r="F23" s="50"/>
      <c r="G23" s="50"/>
      <c r="H23" s="49"/>
      <c r="I23" s="50"/>
      <c r="J23" s="49"/>
      <c r="K23" s="49"/>
      <c r="L23" s="50"/>
      <c r="M23" s="49"/>
      <c r="P23" s="524"/>
      <c r="Q23" s="524" t="s">
        <v>153</v>
      </c>
      <c r="R23" s="524">
        <v>0.13</v>
      </c>
      <c r="S23" s="524" t="s">
        <v>30</v>
      </c>
      <c r="T23" s="1"/>
      <c r="U23" s="20"/>
    </row>
    <row r="24" spans="1:21" ht="25.5">
      <c r="A24" s="60" t="s">
        <v>16</v>
      </c>
      <c r="B24" s="61" t="s">
        <v>79</v>
      </c>
      <c r="C24" s="61" t="s">
        <v>126</v>
      </c>
      <c r="D24" s="61" t="s">
        <v>17</v>
      </c>
      <c r="E24" s="61" t="s">
        <v>18</v>
      </c>
      <c r="F24" s="61" t="s">
        <v>70</v>
      </c>
      <c r="G24" s="62" t="s">
        <v>19</v>
      </c>
      <c r="H24" s="62" t="s">
        <v>20</v>
      </c>
      <c r="I24" s="62" t="s">
        <v>21</v>
      </c>
      <c r="J24" s="62" t="s">
        <v>58</v>
      </c>
      <c r="K24" s="62" t="s">
        <v>22</v>
      </c>
      <c r="L24" s="63" t="s">
        <v>23</v>
      </c>
      <c r="M24" s="524" t="s">
        <v>147</v>
      </c>
      <c r="N24" s="524" t="s">
        <v>148</v>
      </c>
      <c r="O24" s="1"/>
      <c r="P24" s="524"/>
      <c r="Q24" s="524" t="s">
        <v>160</v>
      </c>
      <c r="R24" s="524">
        <v>0.23</v>
      </c>
      <c r="S24" s="524" t="s">
        <v>30</v>
      </c>
      <c r="U24" s="17"/>
    </row>
    <row r="25" spans="1:21" ht="12.75">
      <c r="A25" s="64">
        <v>2007</v>
      </c>
      <c r="B25" s="65">
        <f>('Energy Cost'!H5*C3*10)*(1+(M25*Q$27)+(N25*Q$28))</f>
        <v>441.6668779067999</v>
      </c>
      <c r="C25" s="65">
        <f>C4*'Energy Cost'!H8*10</f>
        <v>110.26564909933799</v>
      </c>
      <c r="D25" s="65">
        <f>'Petrol Reduction'!K5*'Energy Cost'!H14/100</f>
        <v>83.88708196721312</v>
      </c>
      <c r="E25" s="65">
        <f>'Petrol Reduction'!T5*'MZ cost info'!C62/'Petrol Reduction'!Z3</f>
        <v>54.18793211886977</v>
      </c>
      <c r="F25" s="65">
        <f>'Petrol Reduction'!C5*'Energy Cost'!H11/100</f>
        <v>533.8664983606557</v>
      </c>
      <c r="G25" s="65"/>
      <c r="H25" s="65">
        <v>0</v>
      </c>
      <c r="I25" s="65">
        <v>0</v>
      </c>
      <c r="J25" s="65">
        <f aca="true" t="shared" si="2" ref="J25:J31">SUM(B25:I25)</f>
        <v>1223.8740394528763</v>
      </c>
      <c r="K25" s="65">
        <f>J25</f>
        <v>1223.8740394528763</v>
      </c>
      <c r="L25" s="66">
        <f>1000000*K25/B47</f>
        <v>3057.1247566484976</v>
      </c>
      <c r="M25" s="671">
        <v>0.05</v>
      </c>
      <c r="N25" s="672">
        <v>0.05</v>
      </c>
      <c r="O25" s="1"/>
      <c r="S25" s="1"/>
      <c r="T25" s="1"/>
      <c r="U25" s="17"/>
    </row>
    <row r="26" spans="1:21" ht="13.5" thickBot="1">
      <c r="A26" s="64" t="s">
        <v>24</v>
      </c>
      <c r="B26" s="68">
        <f>'Energy Cost'!I5*'Energy Accounting'!E3*10*(1+(M26*Q$27)+(N26*Q$28))</f>
        <v>769.4155918032785</v>
      </c>
      <c r="C26" s="65">
        <f>E4*'Energy Cost'!I8*10</f>
        <v>230.52980442768597</v>
      </c>
      <c r="D26" s="65">
        <f>'Petrol Reduction'!N5*'Energy Cost'!I14/100</f>
        <v>189.84918032786888</v>
      </c>
      <c r="E26" s="65">
        <f>'Petrol Reduction'!W5*'MZ cost info'!C63/'Petrol Reduction'!Z3</f>
        <v>204.93774929528917</v>
      </c>
      <c r="F26" s="65">
        <f>'Petrol Reduction'!F5*'Energy Cost'!I11/100</f>
        <v>787.6721311475411</v>
      </c>
      <c r="G26" s="65"/>
      <c r="H26" s="65">
        <v>0</v>
      </c>
      <c r="I26" s="65">
        <v>0</v>
      </c>
      <c r="J26" s="65">
        <f t="shared" si="2"/>
        <v>2182.4044570016636</v>
      </c>
      <c r="K26" s="65">
        <f>J26</f>
        <v>2182.4044570016636</v>
      </c>
      <c r="L26" s="66">
        <f>1000000*K26/D47</f>
        <v>5135.06931059215</v>
      </c>
      <c r="M26" s="671">
        <v>0.05</v>
      </c>
      <c r="N26" s="672">
        <v>0.05</v>
      </c>
      <c r="O26" s="1"/>
      <c r="S26" s="1"/>
      <c r="T26" s="1"/>
      <c r="U26" s="1"/>
    </row>
    <row r="27" spans="1:21" ht="12.75">
      <c r="A27" s="64" t="s">
        <v>25</v>
      </c>
      <c r="B27" s="68">
        <f>'Energy Cost'!J5*F3*10*(1+(M27*Q$27)+(N27*Q$28))</f>
        <v>1087.415837704918</v>
      </c>
      <c r="C27" s="65">
        <f>F4*'Energy Cost'!J8*10</f>
        <v>390.14365658521194</v>
      </c>
      <c r="D27" s="65">
        <f>'Petrol Reduction'!P5*'Energy Cost'!J14/100</f>
        <v>361.016393442623</v>
      </c>
      <c r="E27" s="65">
        <f>'Petrol Reduction'!Y5*'MZ cost info'!C64/'Petrol Reduction'!Z3</f>
        <v>621.1614801338262</v>
      </c>
      <c r="F27" s="65">
        <f>'Petrol Reduction'!H5*'Energy Cost'!J11/100</f>
        <v>1201.9573770491802</v>
      </c>
      <c r="G27" s="65"/>
      <c r="H27" s="65">
        <v>0</v>
      </c>
      <c r="I27" s="65">
        <v>0</v>
      </c>
      <c r="J27" s="65">
        <f t="shared" si="2"/>
        <v>3661.694744915759</v>
      </c>
      <c r="K27" s="65">
        <f>J27</f>
        <v>3661.694744915759</v>
      </c>
      <c r="L27" s="66">
        <f>1000000*K27/F47</f>
        <v>7323.389489831518</v>
      </c>
      <c r="M27" s="671">
        <v>0.05</v>
      </c>
      <c r="N27" s="672">
        <v>0.05</v>
      </c>
      <c r="O27" s="1"/>
      <c r="P27" s="706" t="s">
        <v>149</v>
      </c>
      <c r="Q27" s="707">
        <f>(R24/R22)-1</f>
        <v>1.0909090909090908</v>
      </c>
      <c r="S27" s="1"/>
      <c r="T27" s="1"/>
      <c r="U27" s="1"/>
    </row>
    <row r="28" spans="1:17" ht="12.75">
      <c r="A28" s="64" t="s">
        <v>26</v>
      </c>
      <c r="B28" s="65">
        <f>10*Q29*(B42*'Energy Cost'!J92+'Energy Accounting'!C42*'Energy Cost'!J93+'Energy Accounting'!E42*'Energy Cost'!J77/Q29+'Energy Accounting'!G42*'Energy Cost'!J97+'Energy Accounting'!H42*'Energy Cost'!J94+'Energy Accounting'!I42*'Energy Cost'!J90+'Energy Accounting'!J42*'Energy Cost'!J87)</f>
        <v>439.13534637017426</v>
      </c>
      <c r="C28" s="65">
        <f>K4*'Energy Cost'!I8*10</f>
        <v>127.58775265806807</v>
      </c>
      <c r="D28" s="65">
        <f>('Petrol Reduction'!N5-'Petrol Reduction'!D26)*'Energy Cost'!I14/100</f>
        <v>89.77037956829722</v>
      </c>
      <c r="E28" s="568">
        <f>0.9*E26</f>
        <v>184.44397436576025</v>
      </c>
      <c r="F28" s="65">
        <f>('Petrol Reduction'!F5-'Petrol Reduction'!D18)*'Energy Cost'!I11/100</f>
        <v>389.2142789623192</v>
      </c>
      <c r="G28" s="65">
        <f>'Petrol Reduction'!O66/1000000</f>
        <v>27.84262567784749</v>
      </c>
      <c r="H28" s="65">
        <f>10*('Energy Cost'!J80*(E3-E7)+'Energy Cost'!J81*(E4-E8)+'Energy Cost'!J101*F42)</f>
        <v>51.85377383374999</v>
      </c>
      <c r="I28" s="70">
        <f>K3*N30*1000</f>
        <v>16.94320434935897</v>
      </c>
      <c r="J28" s="65">
        <f t="shared" si="2"/>
        <v>1326.7913357855755</v>
      </c>
      <c r="K28" s="65">
        <f>J28-10*K8</f>
        <v>1327.6781870868576</v>
      </c>
      <c r="L28" s="66">
        <f>1000000*K28/D47</f>
        <v>3123.9486754984882</v>
      </c>
      <c r="M28" s="671">
        <v>0</v>
      </c>
      <c r="N28" s="672">
        <v>0</v>
      </c>
      <c r="P28" s="708" t="s">
        <v>150</v>
      </c>
      <c r="Q28" s="709">
        <f>(R23/R22)-1</f>
        <v>0.18181818181818188</v>
      </c>
    </row>
    <row r="29" spans="1:17" ht="26.25" thickBot="1">
      <c r="A29" s="69" t="s">
        <v>27</v>
      </c>
      <c r="B29" s="65">
        <f>10*Q29*(B43*'Energy Cost'!F9+'Energy Accounting'!C43*'Energy Cost'!F10+'Energy Accounting'!E43*'Energy Cost'!K77/Q29+'Energy Accounting'!G43*'Energy Cost'!F14+'Energy Accounting'!H43*'Energy Cost'!F11+'Energy Accounting'!I43*'Energy Cost'!F7+'Energy Accounting'!J43*'Energy Cost'!F4)</f>
        <v>1302.5008031151322</v>
      </c>
      <c r="C29" s="65">
        <f>L4*'Energy Cost'!J8*10</f>
        <v>55.71331866068973</v>
      </c>
      <c r="D29" s="65">
        <f>('Petrol Reduction'!P5-'Petrol Reduction'!J26)*'Energy Cost'!J14/100</f>
        <v>42.293233803612154</v>
      </c>
      <c r="E29" s="568">
        <f>0.8*E27</f>
        <v>496.929184107061</v>
      </c>
      <c r="F29" s="65">
        <f>('Petrol Reduction'!H5-'Petrol Reduction'!J18)*'Energy Cost'!J11/100</f>
        <v>133.35734980125534</v>
      </c>
      <c r="G29" s="65">
        <f>'Petrol Reduction'!Y66/1000000</f>
        <v>52.30352401288203</v>
      </c>
      <c r="H29" s="576">
        <f>10*('Energy Cost'!K80*(F3-F7)+'Energy Cost'!K81*(F4-F8)+'Energy Cost'!F18*F43)</f>
        <v>97.38182581737502</v>
      </c>
      <c r="I29" s="575">
        <f>L3*N31*1000</f>
        <v>53.47658003150737</v>
      </c>
      <c r="J29" s="578">
        <f t="shared" si="2"/>
        <v>2233.955819349515</v>
      </c>
      <c r="K29" s="70">
        <f>J29-10*L8</f>
        <v>2275.2786993180075</v>
      </c>
      <c r="L29" s="66">
        <f>1000000*K29/F47</f>
        <v>4550.557398636015</v>
      </c>
      <c r="M29" s="671">
        <v>0</v>
      </c>
      <c r="N29" s="672">
        <v>0</v>
      </c>
      <c r="P29" s="710" t="s">
        <v>395</v>
      </c>
      <c r="Q29" s="711">
        <f>15/9</f>
        <v>1.6666666666666667</v>
      </c>
    </row>
    <row r="30" spans="1:15" ht="38.25">
      <c r="A30" s="71" t="s">
        <v>28</v>
      </c>
      <c r="B30" s="72">
        <f aca="true" t="shared" si="3" ref="B30:I31">B26-B28</f>
        <v>330.28024543310426</v>
      </c>
      <c r="C30" s="72">
        <f t="shared" si="3"/>
        <v>102.9420517696179</v>
      </c>
      <c r="D30" s="72">
        <f t="shared" si="3"/>
        <v>100.07880075957166</v>
      </c>
      <c r="E30" s="72">
        <f t="shared" si="3"/>
        <v>20.49377492952891</v>
      </c>
      <c r="F30" s="72">
        <f t="shared" si="3"/>
        <v>398.4578521852219</v>
      </c>
      <c r="G30" s="72">
        <f t="shared" si="3"/>
        <v>-27.84262567784749</v>
      </c>
      <c r="H30" s="577">
        <f t="shared" si="3"/>
        <v>-51.85377383374999</v>
      </c>
      <c r="I30" s="575">
        <f t="shared" si="3"/>
        <v>-16.94320434935897</v>
      </c>
      <c r="J30" s="579">
        <f t="shared" si="2"/>
        <v>855.6131212160881</v>
      </c>
      <c r="K30" s="575">
        <f>J30</f>
        <v>855.6131212160881</v>
      </c>
      <c r="L30" s="73">
        <f>1000000*K30/D47</f>
        <v>2013.2073440378542</v>
      </c>
      <c r="M30" s="67" t="s">
        <v>29</v>
      </c>
      <c r="N30" s="74">
        <v>0.005</v>
      </c>
      <c r="O30" s="75" t="s">
        <v>30</v>
      </c>
    </row>
    <row r="31" spans="1:15" ht="39" thickBot="1">
      <c r="A31" s="76" t="s">
        <v>31</v>
      </c>
      <c r="B31" s="77">
        <f t="shared" si="3"/>
        <v>-215.08496541021418</v>
      </c>
      <c r="C31" s="77">
        <f t="shared" si="3"/>
        <v>334.43033792452223</v>
      </c>
      <c r="D31" s="77">
        <f t="shared" si="3"/>
        <v>318.7231596390108</v>
      </c>
      <c r="E31" s="77">
        <f t="shared" si="3"/>
        <v>124.2322960267652</v>
      </c>
      <c r="F31" s="77">
        <f t="shared" si="3"/>
        <v>1068.6000272479248</v>
      </c>
      <c r="G31" s="77">
        <f t="shared" si="3"/>
        <v>-52.30352401288203</v>
      </c>
      <c r="H31" s="77">
        <f t="shared" si="3"/>
        <v>-97.38182581737502</v>
      </c>
      <c r="I31" s="580">
        <f t="shared" si="3"/>
        <v>-53.47658003150737</v>
      </c>
      <c r="J31" s="581">
        <f t="shared" si="2"/>
        <v>1427.7389255662445</v>
      </c>
      <c r="K31" s="581">
        <f>J31</f>
        <v>1427.7389255662445</v>
      </c>
      <c r="L31" s="78">
        <f>1000000*K31/F47</f>
        <v>2855.477851132489</v>
      </c>
      <c r="M31" s="79" t="s">
        <v>32</v>
      </c>
      <c r="N31" s="74">
        <v>0.01</v>
      </c>
      <c r="O31" s="75" t="s">
        <v>30</v>
      </c>
    </row>
    <row r="32" spans="1:12" ht="12.75">
      <c r="A32" s="27"/>
      <c r="B32" s="81"/>
      <c r="C32" s="81"/>
      <c r="D32" s="81"/>
      <c r="E32" s="82"/>
      <c r="F32" s="82"/>
      <c r="G32" s="82"/>
      <c r="H32" s="82"/>
      <c r="I32" s="81"/>
      <c r="J32" s="81"/>
      <c r="K32" s="80"/>
      <c r="L32" s="17"/>
    </row>
    <row r="33" spans="5:8" ht="13.5" thickBot="1">
      <c r="E33" s="374"/>
      <c r="F33" s="375"/>
      <c r="G33" s="374"/>
      <c r="H33" s="375"/>
    </row>
    <row r="34" spans="1:9" ht="27.75" customHeight="1">
      <c r="A34" s="546"/>
      <c r="B34" s="547" t="s">
        <v>62</v>
      </c>
      <c r="C34" s="548" t="s">
        <v>63</v>
      </c>
      <c r="D34" s="553" t="s">
        <v>355</v>
      </c>
      <c r="E34" s="538"/>
      <c r="F34" s="436" t="s">
        <v>64</v>
      </c>
      <c r="G34" s="437" t="s">
        <v>65</v>
      </c>
      <c r="H34" s="438" t="s">
        <v>66</v>
      </c>
      <c r="I34" s="438"/>
    </row>
    <row r="35" spans="1:9" ht="27.75" customHeight="1">
      <c r="A35" s="549">
        <v>2005</v>
      </c>
      <c r="B35" s="537">
        <v>0</v>
      </c>
      <c r="C35" s="541"/>
      <c r="D35" s="543" t="s">
        <v>424</v>
      </c>
      <c r="E35" s="539" t="s">
        <v>67</v>
      </c>
      <c r="F35" s="439">
        <v>0.2939</v>
      </c>
      <c r="G35" s="440">
        <v>0.4529</v>
      </c>
      <c r="H35" s="441" t="s">
        <v>418</v>
      </c>
      <c r="I35" s="442">
        <v>0.94</v>
      </c>
    </row>
    <row r="36" spans="1:9" ht="27.75" customHeight="1">
      <c r="A36" s="549">
        <v>2010</v>
      </c>
      <c r="B36" s="537"/>
      <c r="C36" s="541"/>
      <c r="D36" s="543"/>
      <c r="E36" s="539" t="s">
        <v>68</v>
      </c>
      <c r="F36" s="439">
        <v>0.394</v>
      </c>
      <c r="G36" s="440">
        <v>0.2048</v>
      </c>
      <c r="H36" s="441" t="s">
        <v>69</v>
      </c>
      <c r="I36" s="442">
        <v>0.65</v>
      </c>
    </row>
    <row r="37" spans="1:16" ht="27.75" customHeight="1" thickBot="1">
      <c r="A37" s="549">
        <v>2020</v>
      </c>
      <c r="B37" s="537">
        <v>0.2</v>
      </c>
      <c r="C37" s="542">
        <f>(E3-E7)+(E4-E8)</f>
        <v>1.5118752274999996</v>
      </c>
      <c r="D37" s="544">
        <v>0.75</v>
      </c>
      <c r="E37" s="540" t="s">
        <v>71</v>
      </c>
      <c r="F37" s="443">
        <f>1-F35-F36</f>
        <v>0.31209999999999993</v>
      </c>
      <c r="G37" s="444">
        <f>1-G35-G36</f>
        <v>0.34229999999999994</v>
      </c>
      <c r="H37" s="441" t="s">
        <v>417</v>
      </c>
      <c r="I37" s="445">
        <f>'Petrol Reduction'!F35</f>
        <v>0.92</v>
      </c>
      <c r="J37" s="446"/>
      <c r="K37" s="446"/>
      <c r="L37" s="446"/>
      <c r="M37" s="447"/>
      <c r="N37" s="447"/>
      <c r="O37" s="446"/>
      <c r="P37" s="446"/>
    </row>
    <row r="38" spans="1:30" ht="27.75" customHeight="1" thickBot="1">
      <c r="A38" s="550">
        <v>2030</v>
      </c>
      <c r="B38" s="551">
        <v>0.3</v>
      </c>
      <c r="C38" s="552">
        <f>(F3-F7)+(F4-F8)</f>
        <v>2.842915986750001</v>
      </c>
      <c r="D38" s="545">
        <v>0.75</v>
      </c>
      <c r="E38" s="446"/>
      <c r="F38" s="461">
        <f>SUM(F35:F37)</f>
        <v>0.9999999999999999</v>
      </c>
      <c r="G38" s="461">
        <f>SUM(G35:G37)</f>
        <v>1</v>
      </c>
      <c r="H38" s="446"/>
      <c r="I38" s="446"/>
      <c r="J38" s="446"/>
      <c r="K38" s="446"/>
      <c r="L38" s="446"/>
      <c r="M38" s="446"/>
      <c r="N38" s="446"/>
      <c r="O38" s="446"/>
      <c r="AD38" s="1"/>
    </row>
    <row r="39" ht="15" customHeight="1" thickBot="1"/>
    <row r="40" spans="1:43" ht="25.5" customHeight="1" thickBot="1">
      <c r="A40" s="487"/>
      <c r="B40" s="749" t="s">
        <v>423</v>
      </c>
      <c r="C40" s="750"/>
      <c r="D40" s="750"/>
      <c r="E40" s="750"/>
      <c r="F40" s="750"/>
      <c r="G40" s="750"/>
      <c r="H40" s="750"/>
      <c r="I40" s="750"/>
      <c r="J40" s="750"/>
      <c r="K40" s="666"/>
      <c r="L40" s="667"/>
      <c r="AE40" s="1"/>
      <c r="AF40" s="1"/>
      <c r="AG40" s="1"/>
      <c r="AH40" s="1"/>
      <c r="AI40" s="1"/>
      <c r="AJ40" s="1"/>
      <c r="AK40" s="1"/>
      <c r="AL40" s="1"/>
      <c r="AM40" s="1"/>
      <c r="AN40" s="1"/>
      <c r="AO40" s="1"/>
      <c r="AP40" s="1"/>
      <c r="AQ40" s="1"/>
    </row>
    <row r="41" spans="2:43" ht="27.75" customHeight="1">
      <c r="B41" s="658" t="s">
        <v>49</v>
      </c>
      <c r="C41" s="488" t="s">
        <v>50</v>
      </c>
      <c r="D41" s="489" t="s">
        <v>51</v>
      </c>
      <c r="E41" s="489" t="s">
        <v>52</v>
      </c>
      <c r="F41" s="489" t="s">
        <v>53</v>
      </c>
      <c r="G41" s="489" t="s">
        <v>54</v>
      </c>
      <c r="H41" s="490" t="s">
        <v>55</v>
      </c>
      <c r="I41" s="491" t="s">
        <v>56</v>
      </c>
      <c r="J41" s="492" t="s">
        <v>57</v>
      </c>
      <c r="K41" s="668" t="s">
        <v>58</v>
      </c>
      <c r="L41" s="667"/>
      <c r="AK41" s="1"/>
      <c r="AL41" s="1"/>
      <c r="AM41" s="1"/>
      <c r="AN41" s="1"/>
      <c r="AO41" s="1"/>
      <c r="AP41" s="1"/>
      <c r="AQ41" s="1"/>
    </row>
    <row r="42" spans="1:41" ht="22.5" customHeight="1" thickBot="1">
      <c r="A42" s="3">
        <v>2020</v>
      </c>
      <c r="B42" s="659">
        <v>0.77</v>
      </c>
      <c r="C42" s="5">
        <v>0.88</v>
      </c>
      <c r="D42" s="6">
        <f>0.2*0.4*E6*0.1</f>
        <v>0.14352229936176103</v>
      </c>
      <c r="E42" s="6">
        <v>0.22</v>
      </c>
      <c r="F42" s="6">
        <f>0.245</f>
        <v>0.245</v>
      </c>
      <c r="G42" s="6">
        <v>0.55</v>
      </c>
      <c r="H42" s="7">
        <v>0.46</v>
      </c>
      <c r="I42" s="8">
        <v>0.14</v>
      </c>
      <c r="J42" s="9">
        <f>0.162*E3</f>
        <v>0.457326</v>
      </c>
      <c r="K42" s="669">
        <f>SUM(B42:J42)</f>
        <v>3.8658482993617613</v>
      </c>
      <c r="L42" s="667"/>
      <c r="Y42" s="51"/>
      <c r="Z42" s="53"/>
      <c r="AA42" s="15"/>
      <c r="AO42" s="1"/>
    </row>
    <row r="43" spans="1:41" ht="13.5" thickBot="1">
      <c r="A43" s="10">
        <v>2030</v>
      </c>
      <c r="B43" s="660">
        <v>1.53</v>
      </c>
      <c r="C43" s="661">
        <v>5.1</v>
      </c>
      <c r="D43" s="662">
        <f>0.2*0.4*F6*0.2</f>
        <v>0.3442392225082626</v>
      </c>
      <c r="E43" s="662">
        <v>0.44</v>
      </c>
      <c r="F43" s="662">
        <f>0.245*2</f>
        <v>0.49</v>
      </c>
      <c r="G43" s="662">
        <v>1.1</v>
      </c>
      <c r="H43" s="663">
        <v>0.77</v>
      </c>
      <c r="I43" s="664">
        <f>F48/1000*1.5</f>
        <v>0</v>
      </c>
      <c r="J43" s="665">
        <f>0.162*F3</f>
        <v>0.539946</v>
      </c>
      <c r="K43" s="670">
        <f>SUM(B43:J43)</f>
        <v>10.314185222508263</v>
      </c>
      <c r="L43" s="667"/>
      <c r="V43" s="365"/>
      <c r="W43" s="365"/>
      <c r="X43" s="1"/>
      <c r="Y43" s="51"/>
      <c r="Z43" s="53"/>
      <c r="AA43" s="15"/>
      <c r="AO43" s="1"/>
    </row>
    <row r="44" spans="2:41" ht="13.5" thickBot="1">
      <c r="B44" s="12"/>
      <c r="C44" s="13"/>
      <c r="D44" s="14"/>
      <c r="E44" s="15"/>
      <c r="H44" s="14"/>
      <c r="I44" s="15"/>
      <c r="V44" s="365"/>
      <c r="W44" s="365"/>
      <c r="X44" s="1"/>
      <c r="AB44" s="1"/>
      <c r="AC44" s="26"/>
      <c r="AD44" s="51"/>
      <c r="AO44" s="1"/>
    </row>
    <row r="45" spans="1:49" ht="26.25" thickBot="1">
      <c r="A45" s="754" t="s">
        <v>407</v>
      </c>
      <c r="B45" s="755"/>
      <c r="C45" s="754" t="s">
        <v>371</v>
      </c>
      <c r="D45" s="756"/>
      <c r="E45" s="752" t="s">
        <v>372</v>
      </c>
      <c r="F45" s="753"/>
      <c r="H45" s="19"/>
      <c r="I45" s="1"/>
      <c r="U45" s="20"/>
      <c r="V45" s="20"/>
      <c r="W45" s="376"/>
      <c r="X45" s="378"/>
      <c r="Y45" s="376"/>
      <c r="Z45" s="1"/>
      <c r="AO45" s="1"/>
      <c r="AV45" s="27"/>
      <c r="AW45" s="27"/>
    </row>
    <row r="46" spans="1:49" ht="12.75">
      <c r="A46" s="483"/>
      <c r="B46" s="484" t="s">
        <v>123</v>
      </c>
      <c r="C46" s="483"/>
      <c r="D46" s="484" t="s">
        <v>123</v>
      </c>
      <c r="E46" s="483"/>
      <c r="F46" s="484" t="s">
        <v>123</v>
      </c>
      <c r="L46" s="1"/>
      <c r="M46" s="19"/>
      <c r="U46" s="520"/>
      <c r="V46" s="20"/>
      <c r="W46" s="376"/>
      <c r="X46" s="24"/>
      <c r="Y46" s="376"/>
      <c r="Z46" s="1"/>
      <c r="AO46" s="1"/>
      <c r="AV46" s="27"/>
      <c r="AW46" s="27"/>
    </row>
    <row r="47" spans="1:41" ht="13.5" thickBot="1">
      <c r="A47" s="485" t="s">
        <v>59</v>
      </c>
      <c r="B47" s="521">
        <v>400335</v>
      </c>
      <c r="C47" s="485" t="s">
        <v>59</v>
      </c>
      <c r="D47" s="486">
        <v>425000</v>
      </c>
      <c r="E47" s="485" t="s">
        <v>59</v>
      </c>
      <c r="F47" s="486">
        <v>500000</v>
      </c>
      <c r="U47" s="20"/>
      <c r="V47" s="20"/>
      <c r="W47" s="376"/>
      <c r="X47" s="24"/>
      <c r="Y47" s="376"/>
      <c r="Z47" s="1"/>
      <c r="AO47" s="1"/>
    </row>
    <row r="48" spans="4:48" ht="12.75">
      <c r="D48" s="1"/>
      <c r="E48" s="1"/>
      <c r="F48" s="1"/>
      <c r="R48" s="366"/>
      <c r="U48" s="20"/>
      <c r="V48" s="20"/>
      <c r="W48" s="1"/>
      <c r="X48" s="1"/>
      <c r="Y48" s="1"/>
      <c r="Z48" s="1"/>
      <c r="AO48" s="1"/>
      <c r="AP48" s="1"/>
      <c r="AQ48" s="1"/>
      <c r="AR48" s="1"/>
      <c r="AS48" s="1"/>
      <c r="AT48" s="1"/>
      <c r="AU48" s="1"/>
      <c r="AV48" s="1"/>
    </row>
    <row r="49" ht="21" customHeight="1"/>
    <row r="50" ht="21" customHeight="1"/>
    <row r="51" ht="21" customHeight="1"/>
    <row r="52" ht="21" customHeight="1"/>
    <row r="53" spans="15:17" ht="21" customHeight="1">
      <c r="O53" s="15"/>
      <c r="P53" s="17"/>
      <c r="Q53" s="1"/>
    </row>
    <row r="54" spans="15:17" ht="21" customHeight="1">
      <c r="O54" s="1"/>
      <c r="P54" s="17"/>
      <c r="Q54" s="17"/>
    </row>
    <row r="55" spans="15:17" ht="12.75">
      <c r="O55" s="1"/>
      <c r="P55" s="1"/>
      <c r="Q55" s="17"/>
    </row>
    <row r="60" spans="1:13" ht="12.75">
      <c r="A60" s="27"/>
      <c r="B60" s="27"/>
      <c r="C60" s="27"/>
      <c r="D60" s="27"/>
      <c r="E60" s="27"/>
      <c r="F60" s="27"/>
      <c r="G60" s="27"/>
      <c r="H60" s="27"/>
      <c r="I60" s="27"/>
      <c r="J60" s="27"/>
      <c r="K60" s="27"/>
      <c r="L60" s="27"/>
      <c r="M60" s="27"/>
    </row>
    <row r="61" spans="1:13" ht="23.25">
      <c r="A61" s="487"/>
      <c r="B61" s="748"/>
      <c r="C61" s="748"/>
      <c r="D61" s="748"/>
      <c r="E61" s="748"/>
      <c r="F61" s="748"/>
      <c r="G61" s="748"/>
      <c r="H61" s="748"/>
      <c r="I61" s="748"/>
      <c r="J61" s="748"/>
      <c r="K61" s="499"/>
      <c r="L61" s="376"/>
      <c r="M61" s="376"/>
    </row>
    <row r="62" spans="1:13" ht="12.75">
      <c r="A62" s="259"/>
      <c r="B62" s="355"/>
      <c r="C62" s="355"/>
      <c r="D62" s="355"/>
      <c r="E62" s="355"/>
      <c r="F62" s="355"/>
      <c r="G62" s="355"/>
      <c r="H62" s="355"/>
      <c r="I62" s="355"/>
      <c r="J62" s="355"/>
      <c r="K62" s="21"/>
      <c r="L62" s="355"/>
      <c r="M62" s="500"/>
    </row>
    <row r="63" spans="1:13" ht="12.75">
      <c r="A63" s="496"/>
      <c r="B63" s="379"/>
      <c r="C63" s="379"/>
      <c r="D63" s="379"/>
      <c r="E63" s="379"/>
      <c r="F63" s="379"/>
      <c r="G63" s="379"/>
      <c r="H63" s="500"/>
      <c r="I63" s="379"/>
      <c r="J63" s="379"/>
      <c r="K63" s="497"/>
      <c r="L63" s="259"/>
      <c r="M63" s="261"/>
    </row>
    <row r="64" spans="1:13" ht="12.75">
      <c r="A64" s="498"/>
      <c r="B64" s="345"/>
      <c r="C64" s="345"/>
      <c r="D64" s="345"/>
      <c r="E64" s="345"/>
      <c r="F64" s="345"/>
      <c r="G64" s="345"/>
      <c r="H64" s="367"/>
      <c r="I64" s="345"/>
      <c r="J64" s="345"/>
      <c r="K64" s="11"/>
      <c r="L64" s="259"/>
      <c r="M64" s="501"/>
    </row>
    <row r="65" spans="1:13" ht="12.75">
      <c r="A65" s="498"/>
      <c r="B65" s="379"/>
      <c r="C65" s="379"/>
      <c r="D65" s="379"/>
      <c r="E65" s="379"/>
      <c r="F65" s="379"/>
      <c r="G65" s="379"/>
      <c r="H65" s="500"/>
      <c r="I65" s="379"/>
      <c r="J65" s="379"/>
      <c r="K65" s="497"/>
      <c r="L65" s="261"/>
      <c r="M65" s="261"/>
    </row>
    <row r="66" spans="1:13" ht="12.75">
      <c r="A66" s="498"/>
      <c r="B66" s="345"/>
      <c r="C66" s="345"/>
      <c r="D66" s="345"/>
      <c r="E66" s="345"/>
      <c r="F66" s="345"/>
      <c r="G66" s="345"/>
      <c r="H66" s="367"/>
      <c r="I66" s="345"/>
      <c r="J66" s="345"/>
      <c r="K66" s="11"/>
      <c r="L66" s="345"/>
      <c r="M66" s="501"/>
    </row>
    <row r="67" spans="1:13" ht="12.75">
      <c r="A67" s="259"/>
      <c r="B67" s="259"/>
      <c r="C67" s="259"/>
      <c r="D67" s="259"/>
      <c r="E67" s="259"/>
      <c r="F67" s="259"/>
      <c r="G67" s="259"/>
      <c r="H67" s="259"/>
      <c r="I67" s="259"/>
      <c r="J67" s="259"/>
      <c r="K67" s="259"/>
      <c r="L67" s="259"/>
      <c r="M67" s="259"/>
    </row>
    <row r="68" spans="1:13" ht="23.25">
      <c r="A68" s="487"/>
      <c r="B68" s="748"/>
      <c r="C68" s="748"/>
      <c r="D68" s="748"/>
      <c r="E68" s="748"/>
      <c r="F68" s="748"/>
      <c r="G68" s="748"/>
      <c r="H68" s="748"/>
      <c r="I68" s="748"/>
      <c r="J68" s="748"/>
      <c r="K68" s="499"/>
      <c r="L68" s="376"/>
      <c r="M68" s="376"/>
    </row>
    <row r="69" spans="1:14" ht="12.75">
      <c r="A69" s="259"/>
      <c r="B69" s="355"/>
      <c r="C69" s="355"/>
      <c r="D69" s="355"/>
      <c r="E69" s="355"/>
      <c r="F69" s="355"/>
      <c r="G69" s="355"/>
      <c r="H69" s="355"/>
      <c r="I69" s="355"/>
      <c r="J69" s="355"/>
      <c r="K69" s="21"/>
      <c r="L69" s="355"/>
      <c r="M69" s="500"/>
      <c r="N69" s="27"/>
    </row>
    <row r="70" spans="1:14" ht="12.75">
      <c r="A70" s="496"/>
      <c r="B70" s="379"/>
      <c r="C70" s="379"/>
      <c r="D70" s="379"/>
      <c r="E70" s="379"/>
      <c r="F70" s="379"/>
      <c r="G70" s="379"/>
      <c r="H70" s="500"/>
      <c r="I70" s="379"/>
      <c r="J70" s="379"/>
      <c r="K70" s="497"/>
      <c r="L70" s="259"/>
      <c r="M70" s="261"/>
      <c r="N70" s="27"/>
    </row>
    <row r="71" spans="1:14" ht="12.75">
      <c r="A71" s="498"/>
      <c r="B71" s="345"/>
      <c r="C71" s="345"/>
      <c r="D71" s="345"/>
      <c r="E71" s="345"/>
      <c r="F71" s="345"/>
      <c r="G71" s="345"/>
      <c r="H71" s="367"/>
      <c r="I71" s="345"/>
      <c r="J71" s="345"/>
      <c r="K71" s="11"/>
      <c r="L71" s="259"/>
      <c r="M71" s="501"/>
      <c r="N71" s="27"/>
    </row>
    <row r="72" spans="1:14" ht="12.75">
      <c r="A72" s="498"/>
      <c r="B72" s="379"/>
      <c r="C72" s="379"/>
      <c r="D72" s="379"/>
      <c r="E72" s="379"/>
      <c r="F72" s="379"/>
      <c r="G72" s="379"/>
      <c r="H72" s="500"/>
      <c r="I72" s="379"/>
      <c r="J72" s="379"/>
      <c r="K72" s="497"/>
      <c r="L72" s="261"/>
      <c r="M72" s="261"/>
      <c r="N72" s="27"/>
    </row>
    <row r="73" spans="1:14" ht="12.75">
      <c r="A73" s="498"/>
      <c r="B73" s="345"/>
      <c r="C73" s="345"/>
      <c r="D73" s="345"/>
      <c r="E73" s="345"/>
      <c r="F73" s="345"/>
      <c r="G73" s="345"/>
      <c r="H73" s="367"/>
      <c r="I73" s="345"/>
      <c r="J73" s="345"/>
      <c r="K73" s="11"/>
      <c r="L73" s="345"/>
      <c r="M73" s="501"/>
      <c r="N73" s="27"/>
    </row>
    <row r="74" ht="12.75">
      <c r="N74" s="27"/>
    </row>
    <row r="75" ht="12.75">
      <c r="N75" s="27"/>
    </row>
    <row r="76" ht="12.75">
      <c r="N76" s="27"/>
    </row>
    <row r="77" ht="12.75">
      <c r="N77" s="27"/>
    </row>
    <row r="78" ht="12.75">
      <c r="N78" s="27"/>
    </row>
    <row r="79" ht="12.75">
      <c r="N79" s="27"/>
    </row>
    <row r="80" ht="12.75">
      <c r="N80" s="27"/>
    </row>
    <row r="81" ht="12.75">
      <c r="N81" s="27"/>
    </row>
    <row r="82" ht="12.75">
      <c r="N82" s="27"/>
    </row>
  </sheetData>
  <mergeCells count="11">
    <mergeCell ref="AK1:AL1"/>
    <mergeCell ref="S3:V3"/>
    <mergeCell ref="A7:A8"/>
    <mergeCell ref="B1:L1"/>
    <mergeCell ref="B61:J61"/>
    <mergeCell ref="B68:J68"/>
    <mergeCell ref="B40:J40"/>
    <mergeCell ref="AH1:AI1"/>
    <mergeCell ref="E45:F45"/>
    <mergeCell ref="A45:B45"/>
    <mergeCell ref="C45:D45"/>
  </mergeCell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AZ52"/>
  <sheetViews>
    <sheetView zoomScale="88" zoomScaleNormal="88" workbookViewId="0" topLeftCell="A28">
      <selection activeCell="C37" sqref="C37"/>
    </sheetView>
  </sheetViews>
  <sheetFormatPr defaultColWidth="9.140625" defaultRowHeight="12.75"/>
  <cols>
    <col min="1" max="1" width="10.7109375" style="1" customWidth="1"/>
    <col min="2" max="2" width="13.00390625" style="1" customWidth="1"/>
    <col min="3" max="8" width="10.7109375" style="1" customWidth="1"/>
    <col min="9" max="9" width="15.140625" style="83" customWidth="1"/>
    <col min="10" max="17" width="10.7109375" style="1" customWidth="1"/>
    <col min="18" max="18" width="10.7109375" style="83" customWidth="1"/>
    <col min="19" max="44" width="10.7109375" style="1" customWidth="1"/>
    <col min="45" max="45" width="9.140625" style="1" customWidth="1"/>
    <col min="46" max="46" width="13.421875" style="1" customWidth="1"/>
    <col min="47" max="48" width="11.7109375" style="1" customWidth="1"/>
    <col min="49" max="49" width="8.8515625" style="1" customWidth="1"/>
    <col min="50" max="16384" width="9.140625" style="1" customWidth="1"/>
  </cols>
  <sheetData>
    <row r="1" spans="1:51" ht="42" customHeight="1" thickBot="1">
      <c r="A1" s="745" t="s">
        <v>36</v>
      </c>
      <c r="B1" s="745"/>
      <c r="C1" s="745"/>
      <c r="D1" s="745"/>
      <c r="E1" s="745"/>
      <c r="F1" s="745"/>
      <c r="G1" s="745"/>
      <c r="H1" s="745"/>
      <c r="I1" s="745" t="s">
        <v>37</v>
      </c>
      <c r="J1" s="745"/>
      <c r="K1" s="745"/>
      <c r="L1" s="745"/>
      <c r="M1" s="745"/>
      <c r="N1" s="745"/>
      <c r="O1" s="745"/>
      <c r="P1" s="745"/>
      <c r="Q1" s="745"/>
      <c r="R1" s="745" t="s">
        <v>38</v>
      </c>
      <c r="S1" s="745"/>
      <c r="T1" s="745"/>
      <c r="U1" s="745"/>
      <c r="V1" s="745"/>
      <c r="W1" s="745"/>
      <c r="X1" s="745"/>
      <c r="Y1" s="745"/>
      <c r="Z1" s="745" t="s">
        <v>39</v>
      </c>
      <c r="AA1" s="745"/>
      <c r="AB1" s="745"/>
      <c r="AC1" s="745"/>
      <c r="AD1" s="745"/>
      <c r="AE1" s="745"/>
      <c r="AF1" s="745"/>
      <c r="AG1" s="745"/>
      <c r="AH1" s="745"/>
      <c r="AI1" s="745" t="s">
        <v>40</v>
      </c>
      <c r="AJ1" s="745"/>
      <c r="AK1" s="745"/>
      <c r="AL1" s="745"/>
      <c r="AM1" s="745"/>
      <c r="AN1" s="745"/>
      <c r="AO1" s="745"/>
      <c r="AP1" s="745"/>
      <c r="AQ1" s="745"/>
      <c r="AR1" s="618"/>
      <c r="AT1" s="657"/>
      <c r="AU1" s="761" t="s">
        <v>398</v>
      </c>
      <c r="AV1" s="761"/>
      <c r="AW1" s="762" t="s">
        <v>397</v>
      </c>
      <c r="AX1" s="762"/>
      <c r="AY1" s="657"/>
    </row>
    <row r="2" spans="1:52" ht="89.25">
      <c r="A2" s="631"/>
      <c r="B2" s="630"/>
      <c r="C2" s="630"/>
      <c r="D2" s="630"/>
      <c r="E2" s="630"/>
      <c r="F2" s="630"/>
      <c r="G2" s="630"/>
      <c r="H2" s="630"/>
      <c r="I2" s="631"/>
      <c r="J2" s="630"/>
      <c r="K2" s="630"/>
      <c r="L2" s="630"/>
      <c r="M2" s="630"/>
      <c r="N2" s="630"/>
      <c r="O2" s="630"/>
      <c r="P2" s="630"/>
      <c r="Q2" s="630"/>
      <c r="R2" s="631"/>
      <c r="S2" s="630"/>
      <c r="T2" s="630"/>
      <c r="U2" s="630"/>
      <c r="V2" s="630"/>
      <c r="W2" s="630"/>
      <c r="X2" s="630"/>
      <c r="Y2" s="630"/>
      <c r="Z2" s="631"/>
      <c r="AA2" s="630"/>
      <c r="AB2" s="630"/>
      <c r="AC2" s="630"/>
      <c r="AD2" s="630"/>
      <c r="AE2" s="630"/>
      <c r="AF2" s="630"/>
      <c r="AG2" s="630"/>
      <c r="AH2" s="630"/>
      <c r="AI2" s="631"/>
      <c r="AJ2" s="630"/>
      <c r="AK2" s="630"/>
      <c r="AL2" s="630"/>
      <c r="AM2" s="630"/>
      <c r="AN2" s="630"/>
      <c r="AO2" s="630"/>
      <c r="AP2" s="630"/>
      <c r="AQ2" s="630"/>
      <c r="AR2" s="618"/>
      <c r="AT2" s="656" t="s">
        <v>79</v>
      </c>
      <c r="AU2" s="649">
        <f>AV2/AV9</f>
        <v>0.1740575304627723</v>
      </c>
      <c r="AV2" s="652">
        <f>AK5</f>
        <v>2696.378986</v>
      </c>
      <c r="AW2" s="647">
        <f>AX2/AX9</f>
        <v>0.15491552534726052</v>
      </c>
      <c r="AX2" s="651">
        <f>AP5</f>
        <v>3333</v>
      </c>
      <c r="AZ2" s="655" t="s">
        <v>396</v>
      </c>
    </row>
    <row r="3" spans="1:52" ht="32.25" thickBot="1">
      <c r="A3" s="616"/>
      <c r="B3" s="618">
        <v>2000</v>
      </c>
      <c r="C3" s="618">
        <v>2005</v>
      </c>
      <c r="D3" s="618">
        <v>2010</v>
      </c>
      <c r="E3" s="618">
        <v>2015</v>
      </c>
      <c r="F3" s="618">
        <v>2020</v>
      </c>
      <c r="G3" s="618">
        <v>2025</v>
      </c>
      <c r="H3" s="618">
        <v>2030</v>
      </c>
      <c r="I3" s="616"/>
      <c r="J3" s="618">
        <v>2000</v>
      </c>
      <c r="K3" s="618">
        <v>2005</v>
      </c>
      <c r="L3" s="618">
        <v>2010</v>
      </c>
      <c r="M3" s="618">
        <v>2015</v>
      </c>
      <c r="N3" s="618">
        <v>2020</v>
      </c>
      <c r="O3" s="618">
        <v>2025</v>
      </c>
      <c r="P3" s="618">
        <v>2030</v>
      </c>
      <c r="Q3" s="618"/>
      <c r="R3" s="616"/>
      <c r="S3" s="618">
        <v>2000</v>
      </c>
      <c r="T3" s="618">
        <v>2005</v>
      </c>
      <c r="U3" s="618">
        <v>2010</v>
      </c>
      <c r="V3" s="618">
        <v>2015</v>
      </c>
      <c r="W3" s="618">
        <v>2020</v>
      </c>
      <c r="X3" s="618">
        <v>2025</v>
      </c>
      <c r="Y3" s="618">
        <v>2030</v>
      </c>
      <c r="Z3" s="616"/>
      <c r="AA3" s="618">
        <v>2001</v>
      </c>
      <c r="AB3" s="618">
        <v>2005</v>
      </c>
      <c r="AC3" s="618">
        <v>2010</v>
      </c>
      <c r="AD3" s="618">
        <v>2015</v>
      </c>
      <c r="AE3" s="618">
        <v>2020</v>
      </c>
      <c r="AF3" s="618">
        <v>2025</v>
      </c>
      <c r="AG3" s="618">
        <v>2030</v>
      </c>
      <c r="AH3" s="618"/>
      <c r="AI3" s="616"/>
      <c r="AJ3" s="618">
        <v>2001</v>
      </c>
      <c r="AK3" s="618">
        <v>2005</v>
      </c>
      <c r="AL3" s="618">
        <v>2010</v>
      </c>
      <c r="AM3" s="618">
        <v>2015</v>
      </c>
      <c r="AN3" s="618">
        <v>2020</v>
      </c>
      <c r="AO3" s="618">
        <v>2025</v>
      </c>
      <c r="AP3" s="618">
        <v>2030</v>
      </c>
      <c r="AQ3" s="618"/>
      <c r="AR3" s="618"/>
      <c r="AT3" s="650" t="s">
        <v>81</v>
      </c>
      <c r="AU3" s="649">
        <f>AV3/AV9</f>
        <v>0.29362263598707394</v>
      </c>
      <c r="AV3" s="652">
        <f>AB5</f>
        <v>4548.5989798</v>
      </c>
      <c r="AW3" s="647">
        <f>AX3/AX9</f>
        <v>0.32548063286806517</v>
      </c>
      <c r="AX3" s="651">
        <f>AG5</f>
        <v>7002.7</v>
      </c>
      <c r="AZ3" s="653">
        <f>F5+N5+W5</f>
        <v>9696.787420220124</v>
      </c>
    </row>
    <row r="4" spans="1:52" ht="89.25">
      <c r="A4" s="654" t="s">
        <v>41</v>
      </c>
      <c r="B4" s="628">
        <v>165.8</v>
      </c>
      <c r="C4" s="628">
        <v>183.884</v>
      </c>
      <c r="D4" s="628">
        <v>179</v>
      </c>
      <c r="E4" s="628">
        <v>186</v>
      </c>
      <c r="F4" s="628">
        <v>195</v>
      </c>
      <c r="G4" s="628">
        <v>202</v>
      </c>
      <c r="H4" s="628">
        <v>207</v>
      </c>
      <c r="I4" s="654" t="s">
        <v>41</v>
      </c>
      <c r="J4" s="628">
        <v>27.635</v>
      </c>
      <c r="K4" s="628">
        <v>27.69</v>
      </c>
      <c r="L4" s="628">
        <v>32</v>
      </c>
      <c r="M4" s="628">
        <v>39</v>
      </c>
      <c r="N4" s="628">
        <v>47</v>
      </c>
      <c r="O4" s="628">
        <v>56</v>
      </c>
      <c r="P4" s="628">
        <v>65</v>
      </c>
      <c r="Q4" s="628"/>
      <c r="R4" s="654" t="s">
        <v>41</v>
      </c>
      <c r="S4" s="628"/>
      <c r="T4" s="628">
        <f>T5*P4/P5</f>
        <v>8.82539611056511</v>
      </c>
      <c r="U4" s="628"/>
      <c r="V4" s="628"/>
      <c r="W4" s="628"/>
      <c r="X4" s="628"/>
      <c r="Y4" s="628"/>
      <c r="Z4" s="625" t="s">
        <v>42</v>
      </c>
      <c r="AA4" s="624"/>
      <c r="AB4" s="624">
        <v>155.242286</v>
      </c>
      <c r="AC4" s="624">
        <v>171</v>
      </c>
      <c r="AD4" s="624">
        <v>185</v>
      </c>
      <c r="AE4" s="624">
        <v>202</v>
      </c>
      <c r="AF4" s="624">
        <v>220</v>
      </c>
      <c r="AG4" s="624">
        <v>239</v>
      </c>
      <c r="AH4" s="628"/>
      <c r="AI4" s="625"/>
      <c r="AJ4" s="624"/>
      <c r="AK4" s="624"/>
      <c r="AL4" s="624"/>
      <c r="AM4" s="624"/>
      <c r="AN4" s="624"/>
      <c r="AO4" s="624"/>
      <c r="AP4" s="624"/>
      <c r="AQ4" s="629" t="s">
        <v>43</v>
      </c>
      <c r="AR4" s="618" t="s">
        <v>44</v>
      </c>
      <c r="AT4" s="650" t="s">
        <v>18</v>
      </c>
      <c r="AU4" s="649">
        <f>AV4/AV9</f>
        <v>0.023186783117542534</v>
      </c>
      <c r="AV4" s="652">
        <f>T5</f>
        <v>359.1936217</v>
      </c>
      <c r="AW4" s="647">
        <f>AX4/AX9</f>
        <v>0.04450632440030801</v>
      </c>
      <c r="AX4" s="651">
        <f>Y5</f>
        <v>957.551406766409</v>
      </c>
      <c r="AZ4" s="655" t="s">
        <v>431</v>
      </c>
    </row>
    <row r="5" spans="1:52" ht="16.5" thickBot="1">
      <c r="A5" s="621" t="s">
        <v>15</v>
      </c>
      <c r="B5" s="624">
        <f aca="true" t="shared" si="0" ref="B5:H5">B4*36.6</f>
        <v>6068.280000000001</v>
      </c>
      <c r="C5" s="624">
        <f t="shared" si="0"/>
        <v>6730.154399999999</v>
      </c>
      <c r="D5" s="624">
        <f t="shared" si="0"/>
        <v>6551.400000000001</v>
      </c>
      <c r="E5" s="624">
        <f t="shared" si="0"/>
        <v>6807.6</v>
      </c>
      <c r="F5" s="624">
        <f t="shared" si="0"/>
        <v>7137</v>
      </c>
      <c r="G5" s="624">
        <f t="shared" si="0"/>
        <v>7393.200000000001</v>
      </c>
      <c r="H5" s="624">
        <f t="shared" si="0"/>
        <v>7576.200000000001</v>
      </c>
      <c r="I5" s="654" t="s">
        <v>15</v>
      </c>
      <c r="J5" s="624">
        <f aca="true" t="shared" si="1" ref="J5:P5">J4*40.7</f>
        <v>1124.7445000000002</v>
      </c>
      <c r="K5" s="624">
        <f t="shared" si="1"/>
        <v>1126.9830000000002</v>
      </c>
      <c r="L5" s="624">
        <f t="shared" si="1"/>
        <v>1302.4</v>
      </c>
      <c r="M5" s="624">
        <f t="shared" si="1"/>
        <v>1587.3000000000002</v>
      </c>
      <c r="N5" s="624">
        <f t="shared" si="1"/>
        <v>1912.9</v>
      </c>
      <c r="O5" s="624">
        <f t="shared" si="1"/>
        <v>2279.2000000000003</v>
      </c>
      <c r="P5" s="624">
        <f t="shared" si="1"/>
        <v>2645.5</v>
      </c>
      <c r="Q5" s="622"/>
      <c r="R5" s="654" t="s">
        <v>15</v>
      </c>
      <c r="S5" s="624">
        <v>226.8082563</v>
      </c>
      <c r="T5" s="624">
        <v>359.1936217</v>
      </c>
      <c r="U5" s="624">
        <v>437.01396236487267</v>
      </c>
      <c r="V5" s="624">
        <v>531.6943057005468</v>
      </c>
      <c r="W5" s="624">
        <v>646.8874202201233</v>
      </c>
      <c r="X5" s="624">
        <v>787.0374573368616</v>
      </c>
      <c r="Y5" s="622">
        <v>957.551406766409</v>
      </c>
      <c r="Z5" s="625" t="s">
        <v>15</v>
      </c>
      <c r="AA5" s="624"/>
      <c r="AB5" s="624">
        <f aca="true" t="shared" si="2" ref="AB5:AG5">AB4*29.3</f>
        <v>4548.5989798</v>
      </c>
      <c r="AC5" s="624">
        <f t="shared" si="2"/>
        <v>5010.3</v>
      </c>
      <c r="AD5" s="624">
        <f t="shared" si="2"/>
        <v>5420.5</v>
      </c>
      <c r="AE5" s="624">
        <f t="shared" si="2"/>
        <v>5918.6</v>
      </c>
      <c r="AF5" s="624">
        <f t="shared" si="2"/>
        <v>6446</v>
      </c>
      <c r="AG5" s="624">
        <f t="shared" si="2"/>
        <v>7002.7</v>
      </c>
      <c r="AH5" s="622">
        <f>0.681*AE5+0.739*AN5</f>
        <v>6298.5576</v>
      </c>
      <c r="AI5" s="625" t="s">
        <v>15</v>
      </c>
      <c r="AJ5" s="624"/>
      <c r="AK5" s="624">
        <v>2696.378986</v>
      </c>
      <c r="AL5" s="624">
        <v>2823</v>
      </c>
      <c r="AM5" s="624">
        <v>2922</v>
      </c>
      <c r="AN5" s="624">
        <v>3069</v>
      </c>
      <c r="AO5" s="624">
        <v>3206</v>
      </c>
      <c r="AP5" s="624">
        <v>3333</v>
      </c>
      <c r="AQ5" s="622">
        <f>AK5+AB5+T5+K5+C5</f>
        <v>15461.3089875</v>
      </c>
      <c r="AR5" s="620">
        <f>AP5+AG5+Y5+P5+H5</f>
        <v>21514.95140676641</v>
      </c>
      <c r="AT5" s="650" t="s">
        <v>101</v>
      </c>
      <c r="AU5" s="649">
        <f>AV5/AV9</f>
        <v>0.07274937198072591</v>
      </c>
      <c r="AV5" s="652">
        <f>K5</f>
        <v>1126.9830000000002</v>
      </c>
      <c r="AW5" s="647">
        <f>AX5/AX9</f>
        <v>0.0764816972574009</v>
      </c>
      <c r="AX5" s="651">
        <f>P5-AX7</f>
        <v>1645.5</v>
      </c>
      <c r="AZ5" s="653">
        <f>H5+P5+Y5</f>
        <v>11179.251406766409</v>
      </c>
    </row>
    <row r="6" spans="1:52" ht="38.25">
      <c r="A6" s="621"/>
      <c r="B6" s="620" t="s">
        <v>45</v>
      </c>
      <c r="C6" s="617">
        <f aca="true" t="shared" si="3" ref="C6:H6">(C4/B4)-1</f>
        <v>0.1090711700844389</v>
      </c>
      <c r="D6" s="617">
        <f t="shared" si="3"/>
        <v>-0.026560222749124396</v>
      </c>
      <c r="E6" s="617">
        <f t="shared" si="3"/>
        <v>0.03910614525139655</v>
      </c>
      <c r="F6" s="617">
        <f t="shared" si="3"/>
        <v>0.048387096774193505</v>
      </c>
      <c r="G6" s="617">
        <f t="shared" si="3"/>
        <v>0.03589743589743599</v>
      </c>
      <c r="H6" s="617">
        <f t="shared" si="3"/>
        <v>0.024752475247524774</v>
      </c>
      <c r="I6" s="621"/>
      <c r="J6" s="620" t="s">
        <v>45</v>
      </c>
      <c r="K6" s="617">
        <f aca="true" t="shared" si="4" ref="K6:P6">(K4/J4)-1</f>
        <v>0.0019902297810747704</v>
      </c>
      <c r="L6" s="617">
        <f t="shared" si="4"/>
        <v>0.15565185987721186</v>
      </c>
      <c r="M6" s="617">
        <f t="shared" si="4"/>
        <v>0.21875</v>
      </c>
      <c r="N6" s="617">
        <f t="shared" si="4"/>
        <v>0.20512820512820507</v>
      </c>
      <c r="O6" s="617">
        <f t="shared" si="4"/>
        <v>0.1914893617021276</v>
      </c>
      <c r="P6" s="617">
        <f t="shared" si="4"/>
        <v>0.1607142857142858</v>
      </c>
      <c r="Q6" s="619"/>
      <c r="R6" s="621"/>
      <c r="S6" s="620" t="s">
        <v>45</v>
      </c>
      <c r="T6" s="617" t="e">
        <f>(T4/S4)-1</f>
        <v>#DIV/0!</v>
      </c>
      <c r="U6" s="617">
        <f>(U4/T4)-1</f>
        <v>-1</v>
      </c>
      <c r="V6" s="617" t="e">
        <f>(V4/U4)-1</f>
        <v>#DIV/0!</v>
      </c>
      <c r="W6" s="617" t="e">
        <f>(W4/V4)-1</f>
        <v>#DIV/0!</v>
      </c>
      <c r="X6" s="617"/>
      <c r="Y6" s="619"/>
      <c r="Z6" s="621"/>
      <c r="AA6" s="620" t="s">
        <v>45</v>
      </c>
      <c r="AB6" s="617"/>
      <c r="AC6" s="617">
        <f>(AC4/AB4)-1</f>
        <v>0.10150400645349933</v>
      </c>
      <c r="AD6" s="617">
        <f>(AD4/AC4)-1</f>
        <v>0.08187134502923987</v>
      </c>
      <c r="AE6" s="617">
        <f>(AE4/AD4)-1</f>
        <v>0.09189189189189184</v>
      </c>
      <c r="AF6" s="617">
        <f>(AF4/AE4)-1</f>
        <v>0.08910891089108919</v>
      </c>
      <c r="AG6" s="617">
        <f>(AG4/AF4)-1</f>
        <v>0.08636363636363642</v>
      </c>
      <c r="AH6" s="619"/>
      <c r="AI6" s="621"/>
      <c r="AJ6" s="620" t="s">
        <v>45</v>
      </c>
      <c r="AK6" s="617"/>
      <c r="AL6" s="617">
        <f>(AL5/AK5)-1</f>
        <v>0.04695965020400883</v>
      </c>
      <c r="AM6" s="617">
        <f>(AM5/AL5)-1</f>
        <v>0.03506907545164717</v>
      </c>
      <c r="AN6" s="617">
        <f>(AN5/AM5)-1</f>
        <v>0.0503080082135523</v>
      </c>
      <c r="AO6" s="617">
        <f>(AO5/AN5)-1</f>
        <v>0.044639947865754426</v>
      </c>
      <c r="AP6" s="617">
        <f>(AP5/AO5)-1</f>
        <v>0.039613225202744795</v>
      </c>
      <c r="AQ6" s="628" t="s">
        <v>46</v>
      </c>
      <c r="AR6" s="619"/>
      <c r="AT6" s="650" t="s">
        <v>70</v>
      </c>
      <c r="AU6" s="649">
        <f>AV6/AV9</f>
        <v>0.40968362352858906</v>
      </c>
      <c r="AV6" s="652">
        <f>0.943*C5</f>
        <v>6346.5355991999995</v>
      </c>
      <c r="AW6" s="647">
        <f>AX6/AX9</f>
        <v>0.3169052009969072</v>
      </c>
      <c r="AX6" s="651">
        <f>H5-AX8</f>
        <v>6818.200000000001</v>
      </c>
      <c r="AZ6" s="20"/>
    </row>
    <row r="7" spans="1:50" ht="15.75">
      <c r="A7" s="621"/>
      <c r="B7" s="634"/>
      <c r="C7" s="634"/>
      <c r="D7" s="634"/>
      <c r="E7" s="634"/>
      <c r="F7" s="634"/>
      <c r="G7" s="634"/>
      <c r="H7" s="634"/>
      <c r="I7" s="621"/>
      <c r="J7" s="634"/>
      <c r="K7" s="634"/>
      <c r="L7" s="634"/>
      <c r="M7" s="634"/>
      <c r="N7" s="634"/>
      <c r="O7" s="634"/>
      <c r="P7" s="634"/>
      <c r="Q7" s="634"/>
      <c r="R7" s="621"/>
      <c r="S7" s="634"/>
      <c r="T7" s="634"/>
      <c r="U7" s="634"/>
      <c r="V7" s="634"/>
      <c r="W7" s="634"/>
      <c r="X7" s="634"/>
      <c r="Y7" s="634"/>
      <c r="Z7" s="621"/>
      <c r="AA7" s="634"/>
      <c r="AB7" s="634"/>
      <c r="AC7" s="634"/>
      <c r="AD7" s="634"/>
      <c r="AE7" s="634"/>
      <c r="AF7" s="634"/>
      <c r="AG7" s="634"/>
      <c r="AH7" s="634"/>
      <c r="AI7" s="621"/>
      <c r="AJ7" s="634"/>
      <c r="AK7" s="634"/>
      <c r="AL7" s="634"/>
      <c r="AM7" s="634"/>
      <c r="AN7" s="634"/>
      <c r="AO7" s="634"/>
      <c r="AP7" s="634"/>
      <c r="AQ7" s="622">
        <f>AN5+AE5+N5+F5+W5</f>
        <v>18684.387420220122</v>
      </c>
      <c r="AR7" s="634"/>
      <c r="AT7" s="650" t="s">
        <v>102</v>
      </c>
      <c r="AU7" s="649">
        <f>AV7/AV9</f>
        <v>0.0019365697259158098</v>
      </c>
      <c r="AV7" s="652">
        <v>30</v>
      </c>
      <c r="AW7" s="647">
        <f>AX7/AX9</f>
        <v>0.046479305534731626</v>
      </c>
      <c r="AX7" s="651">
        <v>1000</v>
      </c>
    </row>
    <row r="8" spans="1:50" ht="36" customHeight="1">
      <c r="A8" s="621"/>
      <c r="B8" s="634"/>
      <c r="C8" s="763" t="s">
        <v>47</v>
      </c>
      <c r="D8" s="763"/>
      <c r="E8" s="763"/>
      <c r="F8" s="763"/>
      <c r="G8" s="617">
        <f>SUM(C6:G6)/5</f>
        <v>0.04118032505166811</v>
      </c>
      <c r="H8" s="634"/>
      <c r="I8" s="621"/>
      <c r="J8" s="634"/>
      <c r="K8" s="763" t="s">
        <v>47</v>
      </c>
      <c r="L8" s="763"/>
      <c r="M8" s="763"/>
      <c r="N8" s="763"/>
      <c r="O8" s="617">
        <f>SUM(K6:O6)/5</f>
        <v>0.15460193129772387</v>
      </c>
      <c r="P8" s="617"/>
      <c r="Q8" s="634"/>
      <c r="R8" s="621"/>
      <c r="S8" s="634"/>
      <c r="T8" s="763" t="s">
        <v>47</v>
      </c>
      <c r="U8" s="763"/>
      <c r="V8" s="763"/>
      <c r="W8" s="763"/>
      <c r="X8" s="617" t="e">
        <f>SUM(T6:X6)/5</f>
        <v>#DIV/0!</v>
      </c>
      <c r="Y8" s="634"/>
      <c r="Z8" s="621"/>
      <c r="AA8" s="634"/>
      <c r="AB8" s="763" t="s">
        <v>47</v>
      </c>
      <c r="AC8" s="763"/>
      <c r="AD8" s="763"/>
      <c r="AE8" s="763"/>
      <c r="AF8" s="617">
        <f>SUM(AB6:AF6)/5</f>
        <v>0.07287523085314404</v>
      </c>
      <c r="AG8" s="617"/>
      <c r="AH8" s="634"/>
      <c r="AI8" s="621"/>
      <c r="AJ8" s="634"/>
      <c r="AK8" s="763" t="s">
        <v>47</v>
      </c>
      <c r="AL8" s="763"/>
      <c r="AM8" s="763"/>
      <c r="AN8" s="763"/>
      <c r="AO8" s="617">
        <f>SUM(AK6:AO6)/5</f>
        <v>0.035395336346992545</v>
      </c>
      <c r="AP8" s="617"/>
      <c r="AQ8" s="634"/>
      <c r="AR8" s="634"/>
      <c r="AT8" s="650" t="s">
        <v>103</v>
      </c>
      <c r="AU8" s="649">
        <f>AV8/AV9</f>
        <v>0.024763485197380253</v>
      </c>
      <c r="AV8" s="648">
        <f>0.057*C5</f>
        <v>383.6188008</v>
      </c>
      <c r="AW8" s="647">
        <f>AX8/AX9</f>
        <v>0.03523131359532657</v>
      </c>
      <c r="AX8" s="646">
        <v>758</v>
      </c>
    </row>
    <row r="9" spans="1:50" ht="16.5" thickBot="1">
      <c r="A9" s="621"/>
      <c r="B9" s="634"/>
      <c r="C9" s="634"/>
      <c r="D9" s="634"/>
      <c r="E9" s="634"/>
      <c r="F9" s="634"/>
      <c r="G9" s="634"/>
      <c r="H9" s="634"/>
      <c r="I9" s="621"/>
      <c r="J9" s="634"/>
      <c r="K9" s="634"/>
      <c r="L9" s="634"/>
      <c r="M9" s="634"/>
      <c r="N9" s="634"/>
      <c r="O9" s="634"/>
      <c r="P9" s="634"/>
      <c r="Q9" s="634"/>
      <c r="R9" s="621"/>
      <c r="S9" s="634"/>
      <c r="T9" s="634"/>
      <c r="U9" s="634"/>
      <c r="V9" s="634"/>
      <c r="W9" s="634"/>
      <c r="X9" s="634"/>
      <c r="Y9" s="634"/>
      <c r="Z9" s="621"/>
      <c r="AA9" s="634"/>
      <c r="AB9" s="634"/>
      <c r="AC9" s="634"/>
      <c r="AD9" s="634"/>
      <c r="AE9" s="634"/>
      <c r="AF9" s="634"/>
      <c r="AG9" s="634"/>
      <c r="AH9" s="634"/>
      <c r="AI9" s="621"/>
      <c r="AJ9" s="634"/>
      <c r="AK9" s="634"/>
      <c r="AL9" s="634"/>
      <c r="AM9" s="634"/>
      <c r="AN9" s="634"/>
      <c r="AO9" s="634"/>
      <c r="AP9" s="634"/>
      <c r="AQ9" s="634"/>
      <c r="AR9" s="634"/>
      <c r="AT9" s="645" t="s">
        <v>58</v>
      </c>
      <c r="AU9" s="644">
        <f>SUM(AU2:AU8)</f>
        <v>0.9999999999999998</v>
      </c>
      <c r="AV9" s="643">
        <f>SUM(AV2:AV8)</f>
        <v>15491.308987500002</v>
      </c>
      <c r="AW9" s="642">
        <f>AW2+AW3+AW4+AW5+AW6+AW7+AW8</f>
        <v>1</v>
      </c>
      <c r="AX9" s="641">
        <f>SUM(AX2:AX8)</f>
        <v>21514.95140676641</v>
      </c>
    </row>
    <row r="10" spans="1:44" ht="102">
      <c r="A10" s="640" t="s">
        <v>187</v>
      </c>
      <c r="B10" s="632"/>
      <c r="C10" s="632"/>
      <c r="D10" s="632"/>
      <c r="E10" s="632"/>
      <c r="F10" s="632"/>
      <c r="G10" s="632"/>
      <c r="H10" s="632"/>
      <c r="I10" s="640" t="s">
        <v>187</v>
      </c>
      <c r="J10" s="632"/>
      <c r="K10" s="632"/>
      <c r="L10" s="632"/>
      <c r="M10" s="632"/>
      <c r="N10" s="632"/>
      <c r="O10" s="632"/>
      <c r="P10" s="632"/>
      <c r="Q10" s="632"/>
      <c r="R10" s="640" t="s">
        <v>188</v>
      </c>
      <c r="S10" s="632"/>
      <c r="T10" s="632"/>
      <c r="U10" s="632"/>
      <c r="V10" s="632"/>
      <c r="W10" s="632"/>
      <c r="X10" s="632"/>
      <c r="Y10" s="632"/>
      <c r="Z10" s="640" t="s">
        <v>189</v>
      </c>
      <c r="AA10" s="639" t="s">
        <v>190</v>
      </c>
      <c r="AB10" s="638">
        <v>100.72179582334056</v>
      </c>
      <c r="AC10" s="638">
        <v>110.94546163660095</v>
      </c>
      <c r="AD10" s="638">
        <v>120.0287158056794</v>
      </c>
      <c r="AE10" s="638">
        <v>131.0583815824175</v>
      </c>
      <c r="AF10" s="638">
        <v>142.7368512283755</v>
      </c>
      <c r="AG10" s="638">
        <v>155.06412474355338</v>
      </c>
      <c r="AH10" s="632"/>
      <c r="AI10" s="640" t="s">
        <v>189</v>
      </c>
      <c r="AJ10" s="639" t="s">
        <v>191</v>
      </c>
      <c r="AK10" s="638">
        <v>1773.5127850130857</v>
      </c>
      <c r="AL10" s="638">
        <v>1856.7963250296377</v>
      </c>
      <c r="AM10" s="638">
        <v>1921.9124554504433</v>
      </c>
      <c r="AN10" s="638">
        <v>2018.6000430449728</v>
      </c>
      <c r="AO10" s="638">
        <v>2108.7102437283097</v>
      </c>
      <c r="AP10" s="638">
        <v>2192.243057500454</v>
      </c>
      <c r="AQ10" s="632"/>
      <c r="AR10" s="632"/>
    </row>
    <row r="11" spans="1:44" ht="36.75" customHeight="1">
      <c r="A11" s="636"/>
      <c r="B11" s="634"/>
      <c r="C11" s="634"/>
      <c r="D11" s="634"/>
      <c r="E11" s="634"/>
      <c r="F11" s="634"/>
      <c r="G11" s="634"/>
      <c r="H11" s="634"/>
      <c r="I11" s="636"/>
      <c r="J11" s="634"/>
      <c r="K11" s="634"/>
      <c r="L11" s="634"/>
      <c r="M11" s="634"/>
      <c r="N11" s="634"/>
      <c r="O11" s="634"/>
      <c r="P11" s="634"/>
      <c r="Q11" s="634"/>
      <c r="R11" s="636"/>
      <c r="S11" s="634"/>
      <c r="T11" s="634"/>
      <c r="U11" s="634"/>
      <c r="V11" s="634"/>
      <c r="W11" s="634"/>
      <c r="X11" s="634"/>
      <c r="Y11" s="634"/>
      <c r="Z11" s="636"/>
      <c r="AA11" s="618" t="s">
        <v>192</v>
      </c>
      <c r="AB11" s="637">
        <f>AB10*29.3</f>
        <v>2951.148617623878</v>
      </c>
      <c r="AC11" s="637">
        <f>AC10*29.3</f>
        <v>3250.702025952408</v>
      </c>
      <c r="AD11" s="637">
        <f>AD10*29.3</f>
        <v>3516.8413731064065</v>
      </c>
      <c r="AE11" s="637">
        <f>AE10*29.3</f>
        <v>3840.0105803648325</v>
      </c>
      <c r="AF11" s="637">
        <f>AF10*29.3</f>
        <v>4182.189740991403</v>
      </c>
      <c r="AG11" s="637"/>
      <c r="AH11" s="634"/>
      <c r="AI11" s="636"/>
      <c r="AJ11" s="634"/>
      <c r="AK11" s="634"/>
      <c r="AL11" s="634"/>
      <c r="AM11" s="634"/>
      <c r="AN11" s="634"/>
      <c r="AO11" s="634"/>
      <c r="AP11" s="634"/>
      <c r="AQ11" s="634"/>
      <c r="AR11" s="634"/>
    </row>
    <row r="12" spans="1:44" ht="28.5" customHeight="1">
      <c r="A12" s="745" t="s">
        <v>193</v>
      </c>
      <c r="B12" s="745"/>
      <c r="C12" s="745"/>
      <c r="D12" s="745"/>
      <c r="E12" s="745"/>
      <c r="F12" s="745"/>
      <c r="G12" s="745"/>
      <c r="H12" s="745"/>
      <c r="I12" s="745" t="s">
        <v>194</v>
      </c>
      <c r="J12" s="745"/>
      <c r="K12" s="745"/>
      <c r="L12" s="745"/>
      <c r="M12" s="745"/>
      <c r="N12" s="745"/>
      <c r="O12" s="745"/>
      <c r="P12" s="745"/>
      <c r="Q12" s="745"/>
      <c r="R12" s="745" t="s">
        <v>195</v>
      </c>
      <c r="S12" s="745"/>
      <c r="T12" s="745"/>
      <c r="U12" s="745"/>
      <c r="V12" s="745"/>
      <c r="W12" s="745"/>
      <c r="X12" s="745"/>
      <c r="Y12" s="745"/>
      <c r="Z12" s="745" t="s">
        <v>196</v>
      </c>
      <c r="AA12" s="745"/>
      <c r="AB12" s="745"/>
      <c r="AC12" s="745"/>
      <c r="AD12" s="745"/>
      <c r="AE12" s="745"/>
      <c r="AF12" s="745"/>
      <c r="AG12" s="745"/>
      <c r="AH12" s="745"/>
      <c r="AI12" s="745" t="s">
        <v>197</v>
      </c>
      <c r="AJ12" s="745"/>
      <c r="AK12" s="745"/>
      <c r="AL12" s="745"/>
      <c r="AM12" s="745"/>
      <c r="AN12" s="745"/>
      <c r="AO12" s="745"/>
      <c r="AP12" s="745"/>
      <c r="AQ12" s="745"/>
      <c r="AR12" s="630"/>
    </row>
    <row r="13" spans="1:44" ht="18">
      <c r="A13" s="631"/>
      <c r="B13" s="630"/>
      <c r="C13" s="630"/>
      <c r="D13" s="630"/>
      <c r="E13" s="630"/>
      <c r="F13" s="630"/>
      <c r="G13" s="630"/>
      <c r="H13" s="630"/>
      <c r="I13" s="631"/>
      <c r="J13" s="630"/>
      <c r="K13" s="630"/>
      <c r="L13" s="630"/>
      <c r="M13" s="630"/>
      <c r="N13" s="630"/>
      <c r="O13" s="630"/>
      <c r="P13" s="630"/>
      <c r="Q13" s="630"/>
      <c r="R13" s="631"/>
      <c r="S13" s="630"/>
      <c r="T13" s="630"/>
      <c r="U13" s="630"/>
      <c r="V13" s="630"/>
      <c r="W13" s="630"/>
      <c r="X13" s="630"/>
      <c r="Y13" s="630"/>
      <c r="Z13" s="631"/>
      <c r="AA13" s="630"/>
      <c r="AB13" s="630"/>
      <c r="AC13" s="630"/>
      <c r="AD13" s="630"/>
      <c r="AE13" s="630"/>
      <c r="AF13" s="630"/>
      <c r="AG13" s="630"/>
      <c r="AH13" s="630"/>
      <c r="AI13" s="631"/>
      <c r="AJ13" s="630"/>
      <c r="AK13" s="630"/>
      <c r="AL13" s="630"/>
      <c r="AM13" s="630"/>
      <c r="AN13" s="630"/>
      <c r="AO13" s="630"/>
      <c r="AP13" s="630"/>
      <c r="AQ13" s="630"/>
      <c r="AR13" s="630"/>
    </row>
    <row r="14" spans="1:44" ht="12.75">
      <c r="A14" s="621"/>
      <c r="B14" s="618">
        <v>2000</v>
      </c>
      <c r="C14" s="618">
        <v>2005</v>
      </c>
      <c r="D14" s="618">
        <v>2010</v>
      </c>
      <c r="E14" s="618">
        <v>2015</v>
      </c>
      <c r="F14" s="618">
        <v>2020</v>
      </c>
      <c r="G14" s="618">
        <v>2025</v>
      </c>
      <c r="H14" s="618"/>
      <c r="I14" s="621"/>
      <c r="J14" s="618">
        <v>2000</v>
      </c>
      <c r="K14" s="618">
        <v>2005</v>
      </c>
      <c r="L14" s="618">
        <v>2010</v>
      </c>
      <c r="M14" s="618">
        <v>2015</v>
      </c>
      <c r="N14" s="618">
        <v>2020</v>
      </c>
      <c r="O14" s="618">
        <v>2025</v>
      </c>
      <c r="P14" s="618"/>
      <c r="Q14" s="618"/>
      <c r="R14" s="621"/>
      <c r="S14" s="618">
        <v>2000</v>
      </c>
      <c r="T14" s="618">
        <v>2005</v>
      </c>
      <c r="U14" s="618">
        <v>2010</v>
      </c>
      <c r="V14" s="618">
        <v>2015</v>
      </c>
      <c r="W14" s="618">
        <v>2020</v>
      </c>
      <c r="X14" s="618">
        <v>2025</v>
      </c>
      <c r="Y14" s="618"/>
      <c r="Z14" s="621"/>
      <c r="AA14" s="618">
        <v>2001</v>
      </c>
      <c r="AB14" s="618">
        <v>2004</v>
      </c>
      <c r="AC14" s="618">
        <v>2010</v>
      </c>
      <c r="AD14" s="618">
        <v>2015</v>
      </c>
      <c r="AE14" s="618">
        <v>2020</v>
      </c>
      <c r="AF14" s="618">
        <v>2025</v>
      </c>
      <c r="AG14" s="618"/>
      <c r="AH14" s="618"/>
      <c r="AI14" s="621"/>
      <c r="AJ14" s="618">
        <v>2001</v>
      </c>
      <c r="AK14" s="618">
        <v>2004</v>
      </c>
      <c r="AL14" s="618">
        <v>2010</v>
      </c>
      <c r="AM14" s="618">
        <v>2015</v>
      </c>
      <c r="AN14" s="618">
        <v>2020</v>
      </c>
      <c r="AO14" s="618">
        <v>2025</v>
      </c>
      <c r="AP14" s="618"/>
      <c r="AQ14" s="618"/>
      <c r="AR14" s="618"/>
    </row>
    <row r="15" spans="1:44" ht="38.25">
      <c r="A15" s="625" t="s">
        <v>41</v>
      </c>
      <c r="B15" s="629">
        <v>299.855</v>
      </c>
      <c r="C15" s="629">
        <v>332.335</v>
      </c>
      <c r="D15" s="629">
        <v>372.115</v>
      </c>
      <c r="E15" s="629">
        <v>408.613</v>
      </c>
      <c r="F15" s="629">
        <v>450.275</v>
      </c>
      <c r="G15" s="629">
        <v>487.822</v>
      </c>
      <c r="H15" s="629"/>
      <c r="I15" s="625" t="s">
        <v>41</v>
      </c>
      <c r="J15" s="629">
        <v>40.762</v>
      </c>
      <c r="K15" s="629">
        <v>40.834</v>
      </c>
      <c r="L15" s="629">
        <v>45.741</v>
      </c>
      <c r="M15" s="629">
        <v>50.166</v>
      </c>
      <c r="N15" s="629">
        <v>55.402</v>
      </c>
      <c r="O15" s="629">
        <v>60.523</v>
      </c>
      <c r="P15" s="629"/>
      <c r="Q15" s="629"/>
      <c r="R15" s="625" t="s">
        <v>41</v>
      </c>
      <c r="S15" s="629"/>
      <c r="T15" s="629"/>
      <c r="U15" s="629"/>
      <c r="V15" s="629"/>
      <c r="W15" s="629"/>
      <c r="X15" s="629"/>
      <c r="Y15" s="629"/>
      <c r="Z15" s="625" t="s">
        <v>42</v>
      </c>
      <c r="AA15" s="626">
        <v>459</v>
      </c>
      <c r="AB15" s="626">
        <v>482</v>
      </c>
      <c r="AC15" s="626">
        <f>AB15*1.0055^6</f>
        <v>498.1263179854704</v>
      </c>
      <c r="AD15" s="626">
        <f>AC15*1.0055^5</f>
        <v>511.9763059805137</v>
      </c>
      <c r="AE15" s="626">
        <f>AD15*1.0055^5</f>
        <v>526.2113813731444</v>
      </c>
      <c r="AF15" s="626">
        <f>AE15*1.0055^5</f>
        <v>540.842251198187</v>
      </c>
      <c r="AG15" s="626"/>
      <c r="AH15" s="629"/>
      <c r="AI15" s="625"/>
      <c r="AJ15" s="629"/>
      <c r="AK15" s="629"/>
      <c r="AL15" s="629"/>
      <c r="AM15" s="629"/>
      <c r="AN15" s="629"/>
      <c r="AO15" s="629"/>
      <c r="AP15" s="629"/>
      <c r="AQ15" s="629" t="s">
        <v>198</v>
      </c>
      <c r="AR15" s="628" t="s">
        <v>199</v>
      </c>
    </row>
    <row r="16" spans="1:44" ht="25.5">
      <c r="A16" s="627" t="s">
        <v>82</v>
      </c>
      <c r="B16" s="624">
        <f aca="true" t="shared" si="5" ref="B16:G16">B15*36.6</f>
        <v>10974.693000000001</v>
      </c>
      <c r="C16" s="624">
        <f t="shared" si="5"/>
        <v>12163.461</v>
      </c>
      <c r="D16" s="624">
        <f t="shared" si="5"/>
        <v>13619.409000000001</v>
      </c>
      <c r="E16" s="624">
        <f t="shared" si="5"/>
        <v>14955.2358</v>
      </c>
      <c r="F16" s="624">
        <f t="shared" si="5"/>
        <v>16480.065</v>
      </c>
      <c r="G16" s="624">
        <f t="shared" si="5"/>
        <v>17854.285200000002</v>
      </c>
      <c r="H16" s="624"/>
      <c r="I16" s="625" t="s">
        <v>82</v>
      </c>
      <c r="J16" s="624">
        <f aca="true" t="shared" si="6" ref="J16:O16">J15*40.7</f>
        <v>1659.0134</v>
      </c>
      <c r="K16" s="624">
        <f t="shared" si="6"/>
        <v>1661.9438000000002</v>
      </c>
      <c r="L16" s="624">
        <f t="shared" si="6"/>
        <v>1861.6587000000002</v>
      </c>
      <c r="M16" s="624">
        <f t="shared" si="6"/>
        <v>2041.7562</v>
      </c>
      <c r="N16" s="624">
        <f t="shared" si="6"/>
        <v>2254.8614000000002</v>
      </c>
      <c r="O16" s="624">
        <f t="shared" si="6"/>
        <v>2463.2861000000003</v>
      </c>
      <c r="P16" s="624"/>
      <c r="Q16" s="623"/>
      <c r="R16" s="625" t="s">
        <v>82</v>
      </c>
      <c r="S16" s="624"/>
      <c r="T16" s="624"/>
      <c r="U16" s="624"/>
      <c r="V16" s="624"/>
      <c r="W16" s="624"/>
      <c r="X16" s="624"/>
      <c r="Y16" s="623"/>
      <c r="Z16" s="625" t="s">
        <v>82</v>
      </c>
      <c r="AA16" s="626">
        <f aca="true" t="shared" si="7" ref="AA16:AF16">AA15*29.3</f>
        <v>13448.7</v>
      </c>
      <c r="AB16" s="626">
        <f t="shared" si="7"/>
        <v>14122.6</v>
      </c>
      <c r="AC16" s="626">
        <f t="shared" si="7"/>
        <v>14595.101116974283</v>
      </c>
      <c r="AD16" s="626">
        <f t="shared" si="7"/>
        <v>15000.905765229052</v>
      </c>
      <c r="AE16" s="626">
        <f t="shared" si="7"/>
        <v>15417.99347423313</v>
      </c>
      <c r="AF16" s="626">
        <f t="shared" si="7"/>
        <v>15846.67796010688</v>
      </c>
      <c r="AG16" s="626"/>
      <c r="AH16" s="623"/>
      <c r="AI16" s="625" t="s">
        <v>82</v>
      </c>
      <c r="AJ16" s="624">
        <v>5298</v>
      </c>
      <c r="AK16" s="624">
        <v>5618</v>
      </c>
      <c r="AL16" s="624">
        <f>AK16*1.0115^6</f>
        <v>6016.959073695447</v>
      </c>
      <c r="AM16" s="624">
        <f>AL16*1.0115^5</f>
        <v>6370.983686629388</v>
      </c>
      <c r="AN16" s="624">
        <f>AM16*1.0115^5</f>
        <v>6745.838327660238</v>
      </c>
      <c r="AO16" s="624">
        <f>AN16*1.0115^5</f>
        <v>7142.748589740199</v>
      </c>
      <c r="AP16" s="624"/>
      <c r="AQ16" s="623">
        <f>AK16+AB16+K16+C16+T16</f>
        <v>33566.004799999995</v>
      </c>
      <c r="AR16" s="622">
        <f>AO16+AE16+N16+F16+W16</f>
        <v>41295.66846397333</v>
      </c>
    </row>
    <row r="17" spans="1:44" ht="38.25">
      <c r="A17" s="621"/>
      <c r="B17" s="620" t="s">
        <v>45</v>
      </c>
      <c r="C17" s="617">
        <f>(C15/B15)-1</f>
        <v>0.10831902086008216</v>
      </c>
      <c r="D17" s="617">
        <f>(D15/C15)-1</f>
        <v>0.11969849699851065</v>
      </c>
      <c r="E17" s="617">
        <f>(E15/D15)-1</f>
        <v>0.09808258199750064</v>
      </c>
      <c r="F17" s="617">
        <f>(F15/E15)-1</f>
        <v>0.10195955586337191</v>
      </c>
      <c r="G17" s="617">
        <f>(G15/F15)-1</f>
        <v>0.08338681916606516</v>
      </c>
      <c r="H17" s="619"/>
      <c r="I17" s="621"/>
      <c r="J17" s="620" t="s">
        <v>45</v>
      </c>
      <c r="K17" s="617">
        <f>(K15/J15)-1</f>
        <v>0.0017663510131986637</v>
      </c>
      <c r="L17" s="617">
        <f>(L15/K15)-1</f>
        <v>0.12016946662095296</v>
      </c>
      <c r="M17" s="617">
        <f>(M15/L15)-1</f>
        <v>0.09674034236243179</v>
      </c>
      <c r="N17" s="617">
        <f>(N15/M15)-1</f>
        <v>0.10437348004624658</v>
      </c>
      <c r="O17" s="617">
        <f>(O15/N15)-1</f>
        <v>0.09243348615573455</v>
      </c>
      <c r="P17" s="617"/>
      <c r="Q17" s="619"/>
      <c r="R17" s="621"/>
      <c r="S17" s="620" t="s">
        <v>45</v>
      </c>
      <c r="T17" s="617" t="e">
        <f>(T15/S15)-1</f>
        <v>#DIV/0!</v>
      </c>
      <c r="U17" s="617" t="e">
        <f>(U15/T15)-1</f>
        <v>#DIV/0!</v>
      </c>
      <c r="V17" s="617" t="e">
        <f>(V15/U15)-1</f>
        <v>#DIV/0!</v>
      </c>
      <c r="W17" s="617" t="e">
        <f>(W15/V15)-1</f>
        <v>#DIV/0!</v>
      </c>
      <c r="X17" s="617" t="e">
        <f>(X15/W15)-1</f>
        <v>#DIV/0!</v>
      </c>
      <c r="Y17" s="619"/>
      <c r="Z17" s="621"/>
      <c r="AA17" s="620" t="s">
        <v>45</v>
      </c>
      <c r="AB17" s="617">
        <f>(AB15/AA15)-1</f>
        <v>0.050108932461873534</v>
      </c>
      <c r="AC17" s="617">
        <f>(AC15/AB15)-1</f>
        <v>0.033457091256162697</v>
      </c>
      <c r="AD17" s="617">
        <f>(AD15/AC15)-1</f>
        <v>0.027804168330345602</v>
      </c>
      <c r="AE17" s="617">
        <f>(AE15/AD15)-1</f>
        <v>0.027804168330345602</v>
      </c>
      <c r="AF17" s="617">
        <f>(AF15/AE15)-1</f>
        <v>0.027804168330345602</v>
      </c>
      <c r="AG17" s="617"/>
      <c r="AH17" s="619"/>
      <c r="AI17" s="621"/>
      <c r="AJ17" s="620" t="s">
        <v>45</v>
      </c>
      <c r="AK17" s="617">
        <f>(AK16/AJ16)-1</f>
        <v>0.060400151000377544</v>
      </c>
      <c r="AL17" s="617">
        <f>(AL16/AK16)-1</f>
        <v>0.07101443106006533</v>
      </c>
      <c r="AM17" s="617">
        <f>(AM16/AL16)-1</f>
        <v>0.058837796401448594</v>
      </c>
      <c r="AN17" s="617">
        <f>(AN16/AM16)-1</f>
        <v>0.058837796401448594</v>
      </c>
      <c r="AO17" s="617">
        <f>(AO16/AN16)-1</f>
        <v>0.058837796401448594</v>
      </c>
      <c r="AP17" s="617"/>
      <c r="AQ17" s="619"/>
      <c r="AR17" s="619"/>
    </row>
    <row r="18" spans="1:44" ht="12.75">
      <c r="A18" s="621"/>
      <c r="B18" s="634"/>
      <c r="C18" s="634"/>
      <c r="D18" s="634"/>
      <c r="E18" s="634"/>
      <c r="F18" s="634"/>
      <c r="G18" s="634"/>
      <c r="H18" s="634"/>
      <c r="I18" s="621"/>
      <c r="J18" s="634"/>
      <c r="K18" s="634"/>
      <c r="L18" s="634"/>
      <c r="M18" s="634"/>
      <c r="N18" s="634"/>
      <c r="O18" s="634"/>
      <c r="P18" s="634"/>
      <c r="Q18" s="634"/>
      <c r="R18" s="621"/>
      <c r="S18" s="634"/>
      <c r="T18" s="634"/>
      <c r="U18" s="634"/>
      <c r="V18" s="634"/>
      <c r="W18" s="634"/>
      <c r="X18" s="634"/>
      <c r="Y18" s="634"/>
      <c r="Z18" s="621"/>
      <c r="AA18" s="634"/>
      <c r="AB18" s="634"/>
      <c r="AC18" s="634"/>
      <c r="AD18" s="634"/>
      <c r="AE18" s="634"/>
      <c r="AF18" s="634"/>
      <c r="AG18" s="634"/>
      <c r="AH18" s="634"/>
      <c r="AI18" s="621"/>
      <c r="AJ18" s="634"/>
      <c r="AK18" s="634"/>
      <c r="AL18" s="634"/>
      <c r="AM18" s="634"/>
      <c r="AN18" s="634"/>
      <c r="AO18" s="634"/>
      <c r="AP18" s="634"/>
      <c r="AQ18" s="634"/>
      <c r="AR18" s="634"/>
    </row>
    <row r="19" spans="1:44" ht="12" customHeight="1">
      <c r="A19" s="621"/>
      <c r="B19" s="634"/>
      <c r="C19" s="763" t="s">
        <v>47</v>
      </c>
      <c r="D19" s="763"/>
      <c r="E19" s="763"/>
      <c r="F19" s="763"/>
      <c r="G19" s="617">
        <f>SUM(C17:G17)/5</f>
        <v>0.10228929497710611</v>
      </c>
      <c r="H19" s="634"/>
      <c r="I19" s="621"/>
      <c r="J19" s="634"/>
      <c r="K19" s="763" t="s">
        <v>47</v>
      </c>
      <c r="L19" s="763"/>
      <c r="M19" s="763"/>
      <c r="N19" s="763"/>
      <c r="O19" s="635">
        <f>SUM(K17:O17)/5</f>
        <v>0.08309662523971291</v>
      </c>
      <c r="P19" s="619"/>
      <c r="Q19" s="634"/>
      <c r="R19" s="621"/>
      <c r="S19" s="634"/>
      <c r="T19" s="763" t="s">
        <v>47</v>
      </c>
      <c r="U19" s="763"/>
      <c r="V19" s="763"/>
      <c r="W19" s="763"/>
      <c r="X19" s="619" t="e">
        <f>SUM(T17:X17)/5</f>
        <v>#DIV/0!</v>
      </c>
      <c r="Y19" s="634"/>
      <c r="Z19" s="621"/>
      <c r="AA19" s="634"/>
      <c r="AB19" s="763" t="s">
        <v>47</v>
      </c>
      <c r="AC19" s="763"/>
      <c r="AD19" s="763"/>
      <c r="AE19" s="763"/>
      <c r="AF19" s="617">
        <f>SUM(AB17:AF17)/5</f>
        <v>0.03339570574181461</v>
      </c>
      <c r="AG19" s="617"/>
      <c r="AH19" s="634"/>
      <c r="AI19" s="621"/>
      <c r="AJ19" s="634"/>
      <c r="AK19" s="763" t="s">
        <v>47</v>
      </c>
      <c r="AL19" s="763"/>
      <c r="AM19" s="763"/>
      <c r="AN19" s="763"/>
      <c r="AO19" s="617">
        <f>SUM(AK17:AO17)/5</f>
        <v>0.06158559425295773</v>
      </c>
      <c r="AP19" s="617"/>
      <c r="AQ19" s="634"/>
      <c r="AR19" s="634"/>
    </row>
    <row r="20" spans="1:44" ht="12.75">
      <c r="A20" s="621"/>
      <c r="B20" s="634"/>
      <c r="C20" s="634"/>
      <c r="D20" s="634"/>
      <c r="E20" s="634"/>
      <c r="F20" s="634"/>
      <c r="G20" s="634"/>
      <c r="H20" s="634"/>
      <c r="I20" s="621"/>
      <c r="J20" s="634"/>
      <c r="K20" s="634"/>
      <c r="L20" s="634"/>
      <c r="M20" s="634"/>
      <c r="N20" s="634"/>
      <c r="O20" s="634"/>
      <c r="P20" s="634"/>
      <c r="Q20" s="634"/>
      <c r="R20" s="621"/>
      <c r="S20" s="634"/>
      <c r="T20" s="634"/>
      <c r="U20" s="634"/>
      <c r="V20" s="634"/>
      <c r="W20" s="634"/>
      <c r="X20" s="634"/>
      <c r="Y20" s="634"/>
      <c r="Z20" s="621"/>
      <c r="AA20" s="634"/>
      <c r="AB20" s="634"/>
      <c r="AC20" s="634"/>
      <c r="AD20" s="634"/>
      <c r="AE20" s="634"/>
      <c r="AF20" s="634"/>
      <c r="AG20" s="634"/>
      <c r="AH20" s="634"/>
      <c r="AI20" s="621"/>
      <c r="AJ20" s="634"/>
      <c r="AK20" s="634"/>
      <c r="AL20" s="634"/>
      <c r="AM20" s="634"/>
      <c r="AN20" s="634"/>
      <c r="AO20" s="634"/>
      <c r="AP20" s="634"/>
      <c r="AQ20" s="634"/>
      <c r="AR20" s="634"/>
    </row>
    <row r="21" spans="1:44" ht="12.75">
      <c r="A21" s="633"/>
      <c r="B21" s="632"/>
      <c r="C21" s="632"/>
      <c r="D21" s="632"/>
      <c r="E21" s="632"/>
      <c r="F21" s="632"/>
      <c r="G21" s="632"/>
      <c r="H21" s="632"/>
      <c r="I21" s="633"/>
      <c r="J21" s="632"/>
      <c r="K21" s="632"/>
      <c r="L21" s="632"/>
      <c r="M21" s="632"/>
      <c r="N21" s="632"/>
      <c r="O21" s="632"/>
      <c r="P21" s="632"/>
      <c r="Q21" s="632"/>
      <c r="R21" s="633"/>
      <c r="S21" s="632"/>
      <c r="T21" s="632"/>
      <c r="U21" s="632"/>
      <c r="V21" s="632"/>
      <c r="W21" s="632"/>
      <c r="X21" s="632"/>
      <c r="Y21" s="632"/>
      <c r="Z21" s="633"/>
      <c r="AA21" s="632"/>
      <c r="AB21" s="632"/>
      <c r="AC21" s="632"/>
      <c r="AD21" s="632"/>
      <c r="AE21" s="632"/>
      <c r="AF21" s="632"/>
      <c r="AG21" s="632"/>
      <c r="AH21" s="632"/>
      <c r="AI21" s="633"/>
      <c r="AJ21" s="632"/>
      <c r="AK21" s="632"/>
      <c r="AL21" s="632"/>
      <c r="AM21" s="632"/>
      <c r="AN21" s="632"/>
      <c r="AO21" s="632"/>
      <c r="AP21" s="632"/>
      <c r="AQ21" s="632"/>
      <c r="AR21" s="632"/>
    </row>
    <row r="22" spans="1:44" ht="28.5" customHeight="1">
      <c r="A22" s="745" t="s">
        <v>83</v>
      </c>
      <c r="B22" s="745"/>
      <c r="C22" s="745"/>
      <c r="D22" s="745"/>
      <c r="E22" s="745"/>
      <c r="F22" s="745"/>
      <c r="G22" s="745"/>
      <c r="H22" s="745"/>
      <c r="I22" s="745" t="s">
        <v>84</v>
      </c>
      <c r="J22" s="745"/>
      <c r="K22" s="745"/>
      <c r="L22" s="745"/>
      <c r="M22" s="745"/>
      <c r="N22" s="745"/>
      <c r="O22" s="745"/>
      <c r="P22" s="745"/>
      <c r="Q22" s="745"/>
      <c r="R22" s="745" t="s">
        <v>89</v>
      </c>
      <c r="S22" s="745"/>
      <c r="T22" s="745"/>
      <c r="U22" s="745"/>
      <c r="V22" s="745"/>
      <c r="W22" s="745"/>
      <c r="X22" s="745"/>
      <c r="Y22" s="745"/>
      <c r="Z22" s="745" t="s">
        <v>229</v>
      </c>
      <c r="AA22" s="745"/>
      <c r="AB22" s="745"/>
      <c r="AC22" s="745"/>
      <c r="AD22" s="745"/>
      <c r="AE22" s="745"/>
      <c r="AF22" s="745"/>
      <c r="AG22" s="745"/>
      <c r="AH22" s="745"/>
      <c r="AI22" s="745" t="s">
        <v>230</v>
      </c>
      <c r="AJ22" s="745"/>
      <c r="AK22" s="745"/>
      <c r="AL22" s="745"/>
      <c r="AM22" s="745"/>
      <c r="AN22" s="745"/>
      <c r="AO22" s="745"/>
      <c r="AP22" s="745"/>
      <c r="AQ22" s="745"/>
      <c r="AR22" s="629"/>
    </row>
    <row r="23" spans="1:44" ht="18">
      <c r="A23" s="631"/>
      <c r="B23" s="630"/>
      <c r="C23" s="630"/>
      <c r="D23" s="630"/>
      <c r="E23" s="630"/>
      <c r="F23" s="630"/>
      <c r="G23" s="630"/>
      <c r="H23" s="630"/>
      <c r="I23" s="631"/>
      <c r="J23" s="630"/>
      <c r="K23" s="630"/>
      <c r="L23" s="630"/>
      <c r="M23" s="630"/>
      <c r="N23" s="630"/>
      <c r="O23" s="630"/>
      <c r="P23" s="630"/>
      <c r="Q23" s="630"/>
      <c r="R23" s="631"/>
      <c r="S23" s="630"/>
      <c r="T23" s="630"/>
      <c r="U23" s="630"/>
      <c r="V23" s="630"/>
      <c r="W23" s="630"/>
      <c r="X23" s="630"/>
      <c r="Y23" s="630"/>
      <c r="Z23" s="631"/>
      <c r="AA23" s="630"/>
      <c r="AB23" s="630"/>
      <c r="AC23" s="630"/>
      <c r="AD23" s="630"/>
      <c r="AE23" s="630"/>
      <c r="AF23" s="630"/>
      <c r="AG23" s="630"/>
      <c r="AH23" s="630"/>
      <c r="AI23" s="631"/>
      <c r="AJ23" s="630"/>
      <c r="AK23" s="630"/>
      <c r="AL23" s="630"/>
      <c r="AM23" s="630"/>
      <c r="AN23" s="630"/>
      <c r="AO23" s="630"/>
      <c r="AP23" s="630"/>
      <c r="AQ23" s="630"/>
      <c r="AR23" s="629"/>
    </row>
    <row r="24" spans="1:44" ht="12.75">
      <c r="A24" s="621"/>
      <c r="B24" s="618">
        <v>2000</v>
      </c>
      <c r="C24" s="618">
        <v>2005</v>
      </c>
      <c r="D24" s="618">
        <v>2010</v>
      </c>
      <c r="E24" s="618">
        <v>2015</v>
      </c>
      <c r="F24" s="618">
        <v>2020</v>
      </c>
      <c r="G24" s="618">
        <v>2025</v>
      </c>
      <c r="H24" s="618"/>
      <c r="I24" s="621"/>
      <c r="J24" s="618">
        <v>2000</v>
      </c>
      <c r="K24" s="618">
        <v>2005</v>
      </c>
      <c r="L24" s="618">
        <v>2010</v>
      </c>
      <c r="M24" s="618">
        <v>2015</v>
      </c>
      <c r="N24" s="618">
        <v>2020</v>
      </c>
      <c r="O24" s="618">
        <v>2025</v>
      </c>
      <c r="P24" s="618"/>
      <c r="Q24" s="618"/>
      <c r="R24" s="621"/>
      <c r="S24" s="618">
        <v>2000</v>
      </c>
      <c r="T24" s="618">
        <v>2005</v>
      </c>
      <c r="U24" s="618">
        <v>2010</v>
      </c>
      <c r="V24" s="618">
        <v>2015</v>
      </c>
      <c r="W24" s="618">
        <v>2020</v>
      </c>
      <c r="X24" s="618">
        <v>2025</v>
      </c>
      <c r="Y24" s="618"/>
      <c r="Z24" s="621"/>
      <c r="AA24" s="618">
        <v>2001</v>
      </c>
      <c r="AB24" s="618">
        <v>2004</v>
      </c>
      <c r="AC24" s="618">
        <v>2010</v>
      </c>
      <c r="AD24" s="618">
        <v>2015</v>
      </c>
      <c r="AE24" s="618">
        <v>2020</v>
      </c>
      <c r="AF24" s="618">
        <v>2025</v>
      </c>
      <c r="AG24" s="618"/>
      <c r="AH24" s="618"/>
      <c r="AI24" s="621"/>
      <c r="AJ24" s="618">
        <v>2001</v>
      </c>
      <c r="AK24" s="618">
        <v>2004</v>
      </c>
      <c r="AL24" s="618">
        <v>2010</v>
      </c>
      <c r="AM24" s="618">
        <v>2015</v>
      </c>
      <c r="AN24" s="618">
        <v>2020</v>
      </c>
      <c r="AO24" s="618">
        <v>2025</v>
      </c>
      <c r="AP24" s="618"/>
      <c r="AQ24" s="618"/>
      <c r="AR24" s="629"/>
    </row>
    <row r="25" spans="1:44" ht="51">
      <c r="A25" s="625" t="s">
        <v>41</v>
      </c>
      <c r="B25" s="629">
        <v>121.548</v>
      </c>
      <c r="C25" s="629">
        <v>131.715</v>
      </c>
      <c r="D25" s="629">
        <v>152.9</v>
      </c>
      <c r="E25" s="629">
        <v>174.053</v>
      </c>
      <c r="F25" s="629">
        <v>198.77</v>
      </c>
      <c r="G25" s="629">
        <v>223.147</v>
      </c>
      <c r="H25" s="629"/>
      <c r="I25" s="625" t="s">
        <v>41</v>
      </c>
      <c r="J25" s="629">
        <v>25.156</v>
      </c>
      <c r="K25" s="629">
        <v>26.356</v>
      </c>
      <c r="L25" s="629">
        <v>30.67</v>
      </c>
      <c r="M25" s="629">
        <v>34.856</v>
      </c>
      <c r="N25" s="629">
        <v>39.851</v>
      </c>
      <c r="O25" s="629">
        <v>45.067</v>
      </c>
      <c r="P25" s="629"/>
      <c r="Q25" s="629"/>
      <c r="R25" s="625" t="s">
        <v>41</v>
      </c>
      <c r="S25" s="629"/>
      <c r="T25" s="629"/>
      <c r="U25" s="629"/>
      <c r="V25" s="629"/>
      <c r="W25" s="629"/>
      <c r="X25" s="629"/>
      <c r="Y25" s="629"/>
      <c r="Z25" s="625" t="s">
        <v>42</v>
      </c>
      <c r="AA25" s="626">
        <v>69</v>
      </c>
      <c r="AB25" s="626">
        <v>77</v>
      </c>
      <c r="AC25" s="626">
        <f>AB25*1.0055^6</f>
        <v>79.57619602672453</v>
      </c>
      <c r="AD25" s="626">
        <f>AC25*1.0055^5</f>
        <v>81.78874597614016</v>
      </c>
      <c r="AE25" s="626">
        <f>AD25*1.0055^5</f>
        <v>84.06281403678864</v>
      </c>
      <c r="AF25" s="626">
        <f>AE25*1.0055^5</f>
        <v>86.40011066859005</v>
      </c>
      <c r="AG25" s="626"/>
      <c r="AH25" s="629"/>
      <c r="AI25" s="625"/>
      <c r="AJ25" s="629"/>
      <c r="AK25" s="629"/>
      <c r="AL25" s="629"/>
      <c r="AM25" s="629"/>
      <c r="AN25" s="629"/>
      <c r="AO25" s="629"/>
      <c r="AP25" s="629"/>
      <c r="AQ25" s="629" t="s">
        <v>231</v>
      </c>
      <c r="AR25" s="628" t="s">
        <v>90</v>
      </c>
    </row>
    <row r="26" spans="1:44" ht="25.5">
      <c r="A26" s="627" t="s">
        <v>82</v>
      </c>
      <c r="B26" s="624">
        <f aca="true" t="shared" si="8" ref="B26:G26">B25*36.6</f>
        <v>4448.656800000001</v>
      </c>
      <c r="C26" s="624">
        <f t="shared" si="8"/>
        <v>4820.769</v>
      </c>
      <c r="D26" s="624">
        <f t="shared" si="8"/>
        <v>5596.14</v>
      </c>
      <c r="E26" s="624">
        <f t="shared" si="8"/>
        <v>6370.3398</v>
      </c>
      <c r="F26" s="624">
        <f t="shared" si="8"/>
        <v>7274.982000000001</v>
      </c>
      <c r="G26" s="624">
        <f t="shared" si="8"/>
        <v>8167.1802</v>
      </c>
      <c r="H26" s="624"/>
      <c r="I26" s="625" t="s">
        <v>82</v>
      </c>
      <c r="J26" s="624">
        <f aca="true" t="shared" si="9" ref="J26:O26">J25*40.7</f>
        <v>1023.8492</v>
      </c>
      <c r="K26" s="624">
        <f t="shared" si="9"/>
        <v>1072.6892000000003</v>
      </c>
      <c r="L26" s="624">
        <f t="shared" si="9"/>
        <v>1248.2690000000002</v>
      </c>
      <c r="M26" s="624">
        <f t="shared" si="9"/>
        <v>1418.6392</v>
      </c>
      <c r="N26" s="624">
        <f t="shared" si="9"/>
        <v>1621.9357</v>
      </c>
      <c r="O26" s="624">
        <f t="shared" si="9"/>
        <v>1834.2269000000001</v>
      </c>
      <c r="P26" s="624"/>
      <c r="Q26" s="623"/>
      <c r="R26" s="625" t="s">
        <v>82</v>
      </c>
      <c r="S26" s="624"/>
      <c r="T26" s="624"/>
      <c r="U26" s="624"/>
      <c r="V26" s="624"/>
      <c r="W26" s="624"/>
      <c r="X26" s="624"/>
      <c r="Y26" s="623"/>
      <c r="Z26" s="625" t="s">
        <v>82</v>
      </c>
      <c r="AA26" s="626">
        <f aca="true" t="shared" si="10" ref="AA26:AF26">AA25*29.3</f>
        <v>2021.7</v>
      </c>
      <c r="AB26" s="626">
        <f t="shared" si="10"/>
        <v>2256.1</v>
      </c>
      <c r="AC26" s="626">
        <f t="shared" si="10"/>
        <v>2331.582543583029</v>
      </c>
      <c r="AD26" s="626">
        <f t="shared" si="10"/>
        <v>2396.4102571009066</v>
      </c>
      <c r="AE26" s="626">
        <f t="shared" si="10"/>
        <v>2463.0404512779073</v>
      </c>
      <c r="AF26" s="626">
        <f t="shared" si="10"/>
        <v>2531.5232425896884</v>
      </c>
      <c r="AG26" s="626"/>
      <c r="AH26" s="623"/>
      <c r="AI26" s="625" t="s">
        <v>82</v>
      </c>
      <c r="AJ26" s="624">
        <v>1425</v>
      </c>
      <c r="AK26" s="624">
        <v>1452</v>
      </c>
      <c r="AL26" s="624">
        <f>AK26*1.0115^6</f>
        <v>1555.112953899215</v>
      </c>
      <c r="AM26" s="624">
        <f>AL26*1.0115^5</f>
        <v>1646.6123732619924</v>
      </c>
      <c r="AN26" s="624">
        <f>AM26*1.0115^5</f>
        <v>1743.4954168320876</v>
      </c>
      <c r="AO26" s="624">
        <f>AN26*1.0115^5</f>
        <v>1846.0788451945127</v>
      </c>
      <c r="AP26" s="624"/>
      <c r="AQ26" s="623">
        <f>AK26+AB26+K26+C26</f>
        <v>9601.5582</v>
      </c>
      <c r="AR26" s="622">
        <f>AO26+AE26+N26+F26</f>
        <v>13206.03699647242</v>
      </c>
    </row>
    <row r="27" spans="1:44" ht="38.25">
      <c r="A27" s="621"/>
      <c r="B27" s="620" t="s">
        <v>45</v>
      </c>
      <c r="C27" s="617">
        <f>(C25/B25)-1</f>
        <v>0.08364596702537264</v>
      </c>
      <c r="D27" s="617">
        <f>(D25/C25)-1</f>
        <v>0.1608396917587216</v>
      </c>
      <c r="E27" s="617">
        <f>(E25/D25)-1</f>
        <v>0.13834532374100705</v>
      </c>
      <c r="F27" s="617">
        <f>(F25/E25)-1</f>
        <v>0.14200846868482597</v>
      </c>
      <c r="G27" s="617">
        <f>(G25/F25)-1</f>
        <v>0.12263923127232479</v>
      </c>
      <c r="H27" s="619"/>
      <c r="I27" s="621"/>
      <c r="J27" s="620" t="s">
        <v>45</v>
      </c>
      <c r="K27" s="617">
        <f>(K25/J25)-1</f>
        <v>0.047702337414533336</v>
      </c>
      <c r="L27" s="617">
        <f>(L25/K25)-1</f>
        <v>0.1636818940658673</v>
      </c>
      <c r="M27" s="617">
        <f>(M25/L25)-1</f>
        <v>0.13648516465601568</v>
      </c>
      <c r="N27" s="617">
        <f>(N25/M25)-1</f>
        <v>0.14330387881569884</v>
      </c>
      <c r="O27" s="617">
        <f>(O25/N25)-1</f>
        <v>0.13088755614664627</v>
      </c>
      <c r="P27" s="617"/>
      <c r="Q27" s="619"/>
      <c r="R27" s="621"/>
      <c r="S27" s="620" t="s">
        <v>45</v>
      </c>
      <c r="T27" s="617" t="e">
        <f>(T25/S25)-1</f>
        <v>#DIV/0!</v>
      </c>
      <c r="U27" s="617" t="e">
        <f>(U25/T25)-1</f>
        <v>#DIV/0!</v>
      </c>
      <c r="V27" s="617" t="e">
        <f>(V25/U25)-1</f>
        <v>#DIV/0!</v>
      </c>
      <c r="W27" s="617" t="e">
        <f>(W25/V25)-1</f>
        <v>#DIV/0!</v>
      </c>
      <c r="X27" s="617" t="e">
        <f>(X25/W25)-1</f>
        <v>#DIV/0!</v>
      </c>
      <c r="Y27" s="619"/>
      <c r="Z27" s="621"/>
      <c r="AA27" s="620" t="s">
        <v>45</v>
      </c>
      <c r="AB27" s="617">
        <f>(AB25/AA25)-1</f>
        <v>0.11594202898550732</v>
      </c>
      <c r="AC27" s="617">
        <f>(AC25/AB25)-1</f>
        <v>0.033457091256162697</v>
      </c>
      <c r="AD27" s="617">
        <f>(AD25/AC25)-1</f>
        <v>0.027804168330345602</v>
      </c>
      <c r="AE27" s="617">
        <f>(AE25/AD25)-1</f>
        <v>0.027804168330345602</v>
      </c>
      <c r="AF27" s="617">
        <f>(AF25/AE25)-1</f>
        <v>0.027804168330345602</v>
      </c>
      <c r="AG27" s="617"/>
      <c r="AH27" s="619"/>
      <c r="AI27" s="621"/>
      <c r="AJ27" s="620" t="s">
        <v>45</v>
      </c>
      <c r="AK27" s="617">
        <f>(AK26/AJ26)-1</f>
        <v>0.0189473684210526</v>
      </c>
      <c r="AL27" s="617">
        <f>(AL26/AK26)-1</f>
        <v>0.07101443106006533</v>
      </c>
      <c r="AM27" s="617">
        <f>(AM26/AL26)-1</f>
        <v>0.058837796401448594</v>
      </c>
      <c r="AN27" s="617">
        <f>(AN26/AM26)-1</f>
        <v>0.058837796401448594</v>
      </c>
      <c r="AO27" s="617">
        <f>(AO26/AN26)-1</f>
        <v>0.058837796401448594</v>
      </c>
      <c r="AP27" s="617"/>
      <c r="AQ27" s="619"/>
      <c r="AR27" s="619"/>
    </row>
    <row r="28" spans="1:44" ht="12.75">
      <c r="A28" s="616"/>
      <c r="B28" s="615"/>
      <c r="C28" s="615"/>
      <c r="D28" s="615"/>
      <c r="E28" s="615"/>
      <c r="F28" s="615"/>
      <c r="G28" s="615"/>
      <c r="H28" s="615"/>
      <c r="I28" s="616"/>
      <c r="J28" s="615"/>
      <c r="K28" s="615"/>
      <c r="L28" s="615"/>
      <c r="M28" s="615"/>
      <c r="N28" s="615"/>
      <c r="O28" s="615"/>
      <c r="P28" s="615"/>
      <c r="Q28" s="615"/>
      <c r="R28" s="616"/>
      <c r="S28" s="615"/>
      <c r="T28" s="615"/>
      <c r="U28" s="615"/>
      <c r="V28" s="615"/>
      <c r="W28" s="615"/>
      <c r="X28" s="615"/>
      <c r="Y28" s="615"/>
      <c r="Z28" s="616"/>
      <c r="AA28" s="615"/>
      <c r="AB28" s="615"/>
      <c r="AC28" s="615"/>
      <c r="AD28" s="615"/>
      <c r="AE28" s="615"/>
      <c r="AF28" s="615"/>
      <c r="AG28" s="615"/>
      <c r="AH28" s="615"/>
      <c r="AI28" s="616"/>
      <c r="AJ28" s="615"/>
      <c r="AK28" s="615"/>
      <c r="AL28" s="615"/>
      <c r="AM28" s="615"/>
      <c r="AN28" s="615"/>
      <c r="AO28" s="615"/>
      <c r="AP28" s="615"/>
      <c r="AQ28" s="615"/>
      <c r="AR28" s="615"/>
    </row>
    <row r="29" spans="1:44" ht="12" customHeight="1">
      <c r="A29" s="616"/>
      <c r="B29" s="615"/>
      <c r="C29" s="763" t="s">
        <v>47</v>
      </c>
      <c r="D29" s="763"/>
      <c r="E29" s="763"/>
      <c r="F29" s="763"/>
      <c r="G29" s="617">
        <f>SUM(C27:G27)/5</f>
        <v>0.1294957364964504</v>
      </c>
      <c r="H29" s="615"/>
      <c r="I29" s="616"/>
      <c r="J29" s="615"/>
      <c r="K29" s="763" t="s">
        <v>47</v>
      </c>
      <c r="L29" s="763"/>
      <c r="M29" s="763"/>
      <c r="N29" s="763"/>
      <c r="O29" s="617">
        <f>SUM(K27:O27)/5</f>
        <v>0.12441216621975229</v>
      </c>
      <c r="P29" s="617"/>
      <c r="Q29" s="615"/>
      <c r="R29" s="616"/>
      <c r="S29" s="615"/>
      <c r="T29" s="763" t="s">
        <v>47</v>
      </c>
      <c r="U29" s="763"/>
      <c r="V29" s="763"/>
      <c r="W29" s="763"/>
      <c r="X29" s="617" t="e">
        <f>SUM(T27:X27)/5</f>
        <v>#DIV/0!</v>
      </c>
      <c r="Y29" s="615"/>
      <c r="Z29" s="616"/>
      <c r="AA29" s="615"/>
      <c r="AB29" s="763" t="s">
        <v>47</v>
      </c>
      <c r="AC29" s="763"/>
      <c r="AD29" s="763"/>
      <c r="AE29" s="763"/>
      <c r="AF29" s="617">
        <f>SUM(AB27:AF27)/5</f>
        <v>0.04656232504654136</v>
      </c>
      <c r="AG29" s="617"/>
      <c r="AH29" s="615"/>
      <c r="AI29" s="616"/>
      <c r="AJ29" s="615"/>
      <c r="AK29" s="763" t="s">
        <v>47</v>
      </c>
      <c r="AL29" s="763"/>
      <c r="AM29" s="763"/>
      <c r="AN29" s="763"/>
      <c r="AO29" s="617">
        <f>SUM(AK27:AO27)/5</f>
        <v>0.053295037737092744</v>
      </c>
      <c r="AP29" s="617"/>
      <c r="AQ29" s="615"/>
      <c r="AR29" s="615"/>
    </row>
    <row r="30" spans="1:44" ht="12.75">
      <c r="A30" s="616"/>
      <c r="B30" s="615"/>
      <c r="C30" s="615"/>
      <c r="D30" s="615"/>
      <c r="E30" s="615"/>
      <c r="F30" s="615"/>
      <c r="G30" s="615"/>
      <c r="H30" s="615"/>
      <c r="I30" s="616"/>
      <c r="J30" s="615"/>
      <c r="K30" s="615"/>
      <c r="L30" s="615"/>
      <c r="M30" s="615"/>
      <c r="N30" s="615"/>
      <c r="O30" s="615"/>
      <c r="P30" s="615"/>
      <c r="Q30" s="615"/>
      <c r="R30" s="616"/>
      <c r="S30" s="615"/>
      <c r="T30" s="615"/>
      <c r="U30" s="615"/>
      <c r="V30" s="615"/>
      <c r="W30" s="615"/>
      <c r="X30" s="615"/>
      <c r="Y30" s="615"/>
      <c r="Z30" s="616"/>
      <c r="AA30" s="615"/>
      <c r="AB30" s="615"/>
      <c r="AC30" s="615"/>
      <c r="AD30" s="615"/>
      <c r="AE30" s="615"/>
      <c r="AF30" s="615"/>
      <c r="AG30" s="615"/>
      <c r="AH30" s="615"/>
      <c r="AI30" s="616"/>
      <c r="AJ30" s="615"/>
      <c r="AK30" s="615"/>
      <c r="AL30" s="615"/>
      <c r="AM30" s="615"/>
      <c r="AN30" s="615"/>
      <c r="AO30" s="615"/>
      <c r="AP30" s="615"/>
      <c r="AQ30" s="615"/>
      <c r="AR30" s="615"/>
    </row>
    <row r="31" spans="1:44" ht="12.75">
      <c r="A31" s="614"/>
      <c r="B31" s="613"/>
      <c r="C31" s="613"/>
      <c r="D31" s="613"/>
      <c r="E31" s="613"/>
      <c r="F31" s="613"/>
      <c r="G31" s="613"/>
      <c r="H31" s="613"/>
      <c r="I31" s="614"/>
      <c r="J31" s="613"/>
      <c r="K31" s="613"/>
      <c r="L31" s="613"/>
      <c r="M31" s="613"/>
      <c r="N31" s="613"/>
      <c r="O31" s="613"/>
      <c r="P31" s="613"/>
      <c r="Q31" s="613"/>
      <c r="R31" s="614"/>
      <c r="S31" s="613"/>
      <c r="T31" s="613"/>
      <c r="U31" s="613"/>
      <c r="V31" s="613"/>
      <c r="W31" s="613"/>
      <c r="X31" s="613"/>
      <c r="Y31" s="613"/>
      <c r="Z31" s="614"/>
      <c r="AA31" s="613"/>
      <c r="AB31" s="613"/>
      <c r="AC31" s="613"/>
      <c r="AD31" s="613"/>
      <c r="AE31" s="613"/>
      <c r="AF31" s="613"/>
      <c r="AG31" s="613"/>
      <c r="AH31" s="613"/>
      <c r="AI31" s="614"/>
      <c r="AJ31" s="613"/>
      <c r="AK31" s="613"/>
      <c r="AL31" s="613"/>
      <c r="AM31" s="613"/>
      <c r="AN31" s="613"/>
      <c r="AO31" s="613"/>
      <c r="AP31" s="613"/>
      <c r="AQ31" s="613"/>
      <c r="AR31" s="613"/>
    </row>
    <row r="32" spans="1:44" ht="20.25" customHeight="1">
      <c r="A32" s="764" t="s">
        <v>240</v>
      </c>
      <c r="B32" s="764"/>
      <c r="C32" s="764"/>
      <c r="D32" s="764"/>
      <c r="E32" s="764"/>
      <c r="F32" s="764"/>
      <c r="G32" s="764"/>
      <c r="H32" s="764"/>
      <c r="I32" s="764" t="s">
        <v>241</v>
      </c>
      <c r="J32" s="764"/>
      <c r="K32" s="764"/>
      <c r="L32" s="764"/>
      <c r="M32" s="764"/>
      <c r="N32" s="764"/>
      <c r="O32" s="764"/>
      <c r="P32" s="764"/>
      <c r="Q32" s="764"/>
      <c r="R32" s="764" t="s">
        <v>242</v>
      </c>
      <c r="S32" s="764"/>
      <c r="T32" s="764"/>
      <c r="U32" s="764"/>
      <c r="V32" s="764"/>
      <c r="W32" s="764"/>
      <c r="X32" s="764"/>
      <c r="Y32" s="764"/>
      <c r="Z32" s="764" t="s">
        <v>243</v>
      </c>
      <c r="AA32" s="764"/>
      <c r="AB32" s="764"/>
      <c r="AC32" s="764"/>
      <c r="AD32" s="764"/>
      <c r="AE32" s="764"/>
      <c r="AF32" s="764"/>
      <c r="AG32" s="764"/>
      <c r="AH32" s="764"/>
      <c r="AI32" s="764" t="s">
        <v>91</v>
      </c>
      <c r="AJ32" s="764"/>
      <c r="AK32" s="764"/>
      <c r="AL32" s="764"/>
      <c r="AM32" s="764"/>
      <c r="AN32" s="764"/>
      <c r="AO32" s="764"/>
      <c r="AP32" s="764"/>
      <c r="AQ32" s="764"/>
      <c r="AR32" s="582"/>
    </row>
    <row r="33" spans="1:44" ht="18">
      <c r="A33" s="612"/>
      <c r="B33" s="611"/>
      <c r="C33" s="611"/>
      <c r="D33" s="611"/>
      <c r="E33" s="611"/>
      <c r="F33" s="611"/>
      <c r="G33" s="611"/>
      <c r="H33" s="611"/>
      <c r="I33" s="612"/>
      <c r="J33" s="611"/>
      <c r="K33" s="611"/>
      <c r="L33" s="611"/>
      <c r="M33" s="611"/>
      <c r="N33" s="611"/>
      <c r="O33" s="611"/>
      <c r="P33" s="611"/>
      <c r="Q33" s="611"/>
      <c r="R33" s="612"/>
      <c r="S33" s="611"/>
      <c r="T33" s="611"/>
      <c r="U33" s="611"/>
      <c r="V33" s="611"/>
      <c r="W33" s="611"/>
      <c r="X33" s="611"/>
      <c r="Y33" s="611"/>
      <c r="Z33" s="612"/>
      <c r="AA33" s="611"/>
      <c r="AB33" s="611"/>
      <c r="AC33" s="611"/>
      <c r="AD33" s="611"/>
      <c r="AE33" s="611"/>
      <c r="AF33" s="611"/>
      <c r="AG33" s="611"/>
      <c r="AH33" s="611"/>
      <c r="AI33" s="612"/>
      <c r="AJ33" s="611"/>
      <c r="AK33" s="611"/>
      <c r="AL33" s="611"/>
      <c r="AM33" s="611"/>
      <c r="AN33" s="611"/>
      <c r="AO33" s="611"/>
      <c r="AP33" s="611"/>
      <c r="AQ33" s="611"/>
      <c r="AR33" s="582"/>
    </row>
    <row r="34" spans="1:44" ht="12.75">
      <c r="A34" s="584"/>
      <c r="B34" s="582">
        <v>2000</v>
      </c>
      <c r="C34" s="582">
        <v>2005</v>
      </c>
      <c r="D34" s="582">
        <v>2010</v>
      </c>
      <c r="E34" s="582">
        <v>2015</v>
      </c>
      <c r="F34" s="582">
        <v>2020</v>
      </c>
      <c r="G34" s="582">
        <v>2025</v>
      </c>
      <c r="H34" s="582"/>
      <c r="I34" s="584"/>
      <c r="J34" s="582">
        <v>2000</v>
      </c>
      <c r="K34" s="582">
        <v>2005</v>
      </c>
      <c r="L34" s="582">
        <v>2010</v>
      </c>
      <c r="M34" s="582">
        <v>2015</v>
      </c>
      <c r="N34" s="582">
        <v>2020</v>
      </c>
      <c r="O34" s="582">
        <v>2025</v>
      </c>
      <c r="P34" s="582"/>
      <c r="Q34" s="582"/>
      <c r="R34" s="584"/>
      <c r="S34" s="582">
        <v>2000</v>
      </c>
      <c r="T34" s="582">
        <v>2005</v>
      </c>
      <c r="U34" s="582">
        <v>2010</v>
      </c>
      <c r="V34" s="582">
        <v>2015</v>
      </c>
      <c r="W34" s="582">
        <v>2020</v>
      </c>
      <c r="X34" s="582">
        <v>2025</v>
      </c>
      <c r="Y34" s="582"/>
      <c r="Z34" s="584"/>
      <c r="AA34" s="582">
        <v>2001</v>
      </c>
      <c r="AB34" s="610">
        <v>2004</v>
      </c>
      <c r="AC34" s="582">
        <v>2010</v>
      </c>
      <c r="AD34" s="582">
        <v>2015</v>
      </c>
      <c r="AE34" s="582">
        <v>2020</v>
      </c>
      <c r="AF34" s="582">
        <v>2025</v>
      </c>
      <c r="AG34" s="582"/>
      <c r="AH34" s="582"/>
      <c r="AI34" s="584"/>
      <c r="AJ34" s="582">
        <v>2001</v>
      </c>
      <c r="AK34" s="582">
        <v>2004</v>
      </c>
      <c r="AL34" s="582">
        <v>2010</v>
      </c>
      <c r="AM34" s="582">
        <v>2015</v>
      </c>
      <c r="AN34" s="582">
        <v>2020</v>
      </c>
      <c r="AO34" s="582">
        <v>2025</v>
      </c>
      <c r="AP34" s="582"/>
      <c r="AQ34" s="582"/>
      <c r="AR34" s="582"/>
    </row>
    <row r="35" spans="1:44" ht="25.5">
      <c r="A35" s="591" t="s">
        <v>41</v>
      </c>
      <c r="B35" s="609">
        <f aca="true" t="shared" si="11" ref="B35:G35">SUM(B25,B15,B4)</f>
        <v>587.203</v>
      </c>
      <c r="C35" s="609">
        <f t="shared" si="11"/>
        <v>647.934</v>
      </c>
      <c r="D35" s="609">
        <f t="shared" si="11"/>
        <v>704.015</v>
      </c>
      <c r="E35" s="609">
        <f t="shared" si="11"/>
        <v>768.6659999999999</v>
      </c>
      <c r="F35" s="609">
        <f t="shared" si="11"/>
        <v>844.045</v>
      </c>
      <c r="G35" s="609">
        <f t="shared" si="11"/>
        <v>912.969</v>
      </c>
      <c r="H35" s="609"/>
      <c r="I35" s="591" t="s">
        <v>41</v>
      </c>
      <c r="J35" s="609">
        <f aca="true" t="shared" si="12" ref="J35:O35">SUM(J25,J15,J4)</f>
        <v>93.55300000000001</v>
      </c>
      <c r="K35" s="609">
        <f t="shared" si="12"/>
        <v>94.88</v>
      </c>
      <c r="L35" s="609">
        <f t="shared" si="12"/>
        <v>108.411</v>
      </c>
      <c r="M35" s="609">
        <f t="shared" si="12"/>
        <v>124.02199999999999</v>
      </c>
      <c r="N35" s="609">
        <f t="shared" si="12"/>
        <v>142.253</v>
      </c>
      <c r="O35" s="609">
        <f t="shared" si="12"/>
        <v>161.59</v>
      </c>
      <c r="P35" s="609"/>
      <c r="Q35" s="609"/>
      <c r="R35" s="591" t="s">
        <v>41</v>
      </c>
      <c r="S35" s="609"/>
      <c r="T35" s="609"/>
      <c r="U35" s="609"/>
      <c r="V35" s="609"/>
      <c r="W35" s="609"/>
      <c r="X35" s="609"/>
      <c r="Y35" s="609"/>
      <c r="Z35" s="591" t="s">
        <v>42</v>
      </c>
      <c r="AA35" s="592">
        <f aca="true" t="shared" si="13" ref="AA35:AF35">SUM(AA25,AA15,AA4)</f>
        <v>528</v>
      </c>
      <c r="AB35" s="592">
        <f t="shared" si="13"/>
        <v>714.242286</v>
      </c>
      <c r="AC35" s="592">
        <f t="shared" si="13"/>
        <v>748.7025140121949</v>
      </c>
      <c r="AD35" s="592">
        <f t="shared" si="13"/>
        <v>778.7650519566539</v>
      </c>
      <c r="AE35" s="592">
        <f t="shared" si="13"/>
        <v>812.274195409933</v>
      </c>
      <c r="AF35" s="592">
        <f t="shared" si="13"/>
        <v>847.2423618667771</v>
      </c>
      <c r="AG35" s="592"/>
      <c r="AH35" s="609"/>
      <c r="AI35" s="591"/>
      <c r="AJ35" s="609"/>
      <c r="AK35" s="609"/>
      <c r="AL35" s="609"/>
      <c r="AM35" s="609"/>
      <c r="AN35" s="609"/>
      <c r="AO35" s="609"/>
      <c r="AP35" s="609"/>
      <c r="AQ35" s="609"/>
      <c r="AR35" s="609"/>
    </row>
    <row r="36" spans="1:44" ht="25.5">
      <c r="A36" s="608" t="s">
        <v>82</v>
      </c>
      <c r="B36" s="592">
        <f aca="true" t="shared" si="14" ref="B36:G36">B35*36.6</f>
        <v>21491.6298</v>
      </c>
      <c r="C36" s="592">
        <f t="shared" si="14"/>
        <v>23714.3844</v>
      </c>
      <c r="D36" s="592">
        <f t="shared" si="14"/>
        <v>25766.949</v>
      </c>
      <c r="E36" s="592">
        <f t="shared" si="14"/>
        <v>28133.1756</v>
      </c>
      <c r="F36" s="592">
        <f t="shared" si="14"/>
        <v>30892.047</v>
      </c>
      <c r="G36" s="592">
        <f t="shared" si="14"/>
        <v>33414.665400000005</v>
      </c>
      <c r="H36" s="592"/>
      <c r="I36" s="591" t="s">
        <v>82</v>
      </c>
      <c r="J36" s="592">
        <f aca="true" t="shared" si="15" ref="J36:O36">J35*40.7</f>
        <v>3807.6071000000006</v>
      </c>
      <c r="K36" s="592">
        <f t="shared" si="15"/>
        <v>3861.616</v>
      </c>
      <c r="L36" s="592">
        <f t="shared" si="15"/>
        <v>4412.327700000001</v>
      </c>
      <c r="M36" s="592">
        <f t="shared" si="15"/>
        <v>5047.6954</v>
      </c>
      <c r="N36" s="592">
        <f t="shared" si="15"/>
        <v>5789.697099999999</v>
      </c>
      <c r="O36" s="592">
        <f t="shared" si="15"/>
        <v>6576.713000000001</v>
      </c>
      <c r="P36" s="592"/>
      <c r="Q36" s="607"/>
      <c r="R36" s="591" t="s">
        <v>82</v>
      </c>
      <c r="S36" s="592">
        <f aca="true" t="shared" si="16" ref="S36:X36">S35*40.7</f>
        <v>0</v>
      </c>
      <c r="T36" s="592">
        <f t="shared" si="16"/>
        <v>0</v>
      </c>
      <c r="U36" s="592">
        <f t="shared" si="16"/>
        <v>0</v>
      </c>
      <c r="V36" s="592">
        <f t="shared" si="16"/>
        <v>0</v>
      </c>
      <c r="W36" s="592">
        <f t="shared" si="16"/>
        <v>0</v>
      </c>
      <c r="X36" s="592">
        <f t="shared" si="16"/>
        <v>0</v>
      </c>
      <c r="Y36" s="607"/>
      <c r="Z36" s="591" t="s">
        <v>82</v>
      </c>
      <c r="AA36" s="592">
        <f aca="true" t="shared" si="17" ref="AA36:AF36">AA35*40.7</f>
        <v>21489.600000000002</v>
      </c>
      <c r="AB36" s="592">
        <f t="shared" si="17"/>
        <v>29069.661040200004</v>
      </c>
      <c r="AC36" s="592">
        <f t="shared" si="17"/>
        <v>30472.192320296333</v>
      </c>
      <c r="AD36" s="592">
        <f t="shared" si="17"/>
        <v>31695.737614635815</v>
      </c>
      <c r="AE36" s="592">
        <f t="shared" si="17"/>
        <v>33059.55975318427</v>
      </c>
      <c r="AF36" s="592">
        <f t="shared" si="17"/>
        <v>34482.764127977825</v>
      </c>
      <c r="AG36" s="592"/>
      <c r="AH36" s="607"/>
      <c r="AI36" s="591" t="s">
        <v>82</v>
      </c>
      <c r="AJ36" s="592">
        <f aca="true" t="shared" si="18" ref="AJ36:AO36">SUM(AJ26,AJ16,AJ5)</f>
        <v>6723</v>
      </c>
      <c r="AK36" s="592">
        <f t="shared" si="18"/>
        <v>9766.378986</v>
      </c>
      <c r="AL36" s="592">
        <f t="shared" si="18"/>
        <v>10395.072027594662</v>
      </c>
      <c r="AM36" s="592">
        <f t="shared" si="18"/>
        <v>10939.59605989138</v>
      </c>
      <c r="AN36" s="592">
        <f t="shared" si="18"/>
        <v>11558.333744492325</v>
      </c>
      <c r="AO36" s="592">
        <f t="shared" si="18"/>
        <v>12194.827434934712</v>
      </c>
      <c r="AP36" s="592"/>
      <c r="AQ36" s="607"/>
      <c r="AR36" s="607"/>
    </row>
    <row r="37" spans="1:44" ht="38.25">
      <c r="A37" s="584"/>
      <c r="B37" s="602" t="s">
        <v>45</v>
      </c>
      <c r="C37" s="605">
        <f>(C35/B35)+-1</f>
        <v>0.10342419912704814</v>
      </c>
      <c r="D37" s="605">
        <f>(D35/C35)+-1</f>
        <v>0.08655356872767905</v>
      </c>
      <c r="E37" s="605">
        <f>(E35/D35)+-1</f>
        <v>0.09183185017364681</v>
      </c>
      <c r="F37" s="605">
        <f>(F35/E35)+-1</f>
        <v>0.09806469910208082</v>
      </c>
      <c r="G37" s="605">
        <f>(G35/F35)+-1</f>
        <v>0.08165915324419926</v>
      </c>
      <c r="H37" s="598"/>
      <c r="I37" s="584"/>
      <c r="J37" s="602" t="s">
        <v>45</v>
      </c>
      <c r="K37" s="605">
        <f>(K35/J35)+-1</f>
        <v>0.014184472972539552</v>
      </c>
      <c r="L37" s="605">
        <f>(L35/K35)+-1</f>
        <v>0.1426117200674537</v>
      </c>
      <c r="M37" s="605">
        <f>(M35/L35)+-1</f>
        <v>0.14399830275525538</v>
      </c>
      <c r="N37" s="605">
        <f>(N35/M35)+-1</f>
        <v>0.14699811323797385</v>
      </c>
      <c r="O37" s="605">
        <f>(O35/N35)+-1</f>
        <v>0.13593386431217636</v>
      </c>
      <c r="P37" s="605"/>
      <c r="Q37" s="598"/>
      <c r="R37" s="584"/>
      <c r="S37" s="602" t="s">
        <v>45</v>
      </c>
      <c r="T37" s="605" t="e">
        <f>(T35/S35)+-1</f>
        <v>#DIV/0!</v>
      </c>
      <c r="U37" s="605" t="e">
        <f>(U35/T35)+-1</f>
        <v>#DIV/0!</v>
      </c>
      <c r="V37" s="605" t="e">
        <f>(V35/U35)+-1</f>
        <v>#DIV/0!</v>
      </c>
      <c r="W37" s="605" t="e">
        <f>(W35/V35)+-1</f>
        <v>#DIV/0!</v>
      </c>
      <c r="X37" s="605" t="e">
        <f>(X35/W35)+-1</f>
        <v>#DIV/0!</v>
      </c>
      <c r="Y37" s="598"/>
      <c r="Z37" s="584"/>
      <c r="AA37" s="602" t="s">
        <v>45</v>
      </c>
      <c r="AB37" s="605">
        <f>(AB35/AA35)+-1</f>
        <v>0.3527316022727274</v>
      </c>
      <c r="AC37" s="605">
        <f>(AC35/AB35)+-1</f>
        <v>0.04824725263073382</v>
      </c>
      <c r="AD37" s="605">
        <f>(AD35/AC35)+-1</f>
        <v>0.04015284760212423</v>
      </c>
      <c r="AE37" s="605">
        <f>(AE35/AD35)+-1</f>
        <v>0.043028566021404036</v>
      </c>
      <c r="AF37" s="605">
        <f>(AF35/AE35)+-1</f>
        <v>0.04304970741954506</v>
      </c>
      <c r="AG37" s="605"/>
      <c r="AH37" s="598"/>
      <c r="AI37" s="584"/>
      <c r="AJ37" s="602" t="s">
        <v>45</v>
      </c>
      <c r="AK37" s="605">
        <f>(AK36/AJ36)-1</f>
        <v>0.4526816876394466</v>
      </c>
      <c r="AL37" s="605">
        <f>(AL36/AK36)-1</f>
        <v>0.06437319732276281</v>
      </c>
      <c r="AM37" s="605">
        <f>(AM36/AL36)-1</f>
        <v>0.052382901325861875</v>
      </c>
      <c r="AN37" s="605">
        <f>(AN36/AM36)-1</f>
        <v>0.056559463549981315</v>
      </c>
      <c r="AO37" s="605">
        <f>(AO36/AN36)-1</f>
        <v>0.055067945303593824</v>
      </c>
      <c r="AP37" s="605"/>
      <c r="AQ37" s="598"/>
      <c r="AR37" s="598"/>
    </row>
    <row r="38" spans="1:44" ht="12" customHeight="1">
      <c r="A38" s="584"/>
      <c r="B38" s="583"/>
      <c r="C38" s="765" t="s">
        <v>47</v>
      </c>
      <c r="D38" s="765"/>
      <c r="E38" s="765"/>
      <c r="F38" s="765"/>
      <c r="G38" s="605">
        <f>SUM(C37:G37)/5</f>
        <v>0.09230669407493082</v>
      </c>
      <c r="H38" s="583"/>
      <c r="I38" s="584"/>
      <c r="J38" s="583"/>
      <c r="K38" s="765" t="s">
        <v>47</v>
      </c>
      <c r="L38" s="765"/>
      <c r="M38" s="765"/>
      <c r="N38" s="765"/>
      <c r="O38" s="606">
        <f>SUM(K37:O37)/5</f>
        <v>0.11674529466907976</v>
      </c>
      <c r="P38" s="598"/>
      <c r="Q38" s="583"/>
      <c r="R38" s="584"/>
      <c r="S38" s="583"/>
      <c r="T38" s="765" t="s">
        <v>47</v>
      </c>
      <c r="U38" s="765"/>
      <c r="V38" s="765"/>
      <c r="W38" s="765"/>
      <c r="X38" s="598" t="e">
        <f>SUM(T37:X37)/5</f>
        <v>#DIV/0!</v>
      </c>
      <c r="Y38" s="583"/>
      <c r="Z38" s="584"/>
      <c r="AA38" s="583"/>
      <c r="AB38" s="765" t="s">
        <v>47</v>
      </c>
      <c r="AC38" s="765"/>
      <c r="AD38" s="765"/>
      <c r="AE38" s="765"/>
      <c r="AF38" s="605">
        <f>SUM(AB37:AF37)/5</f>
        <v>0.1054419951893069</v>
      </c>
      <c r="AG38" s="605"/>
      <c r="AH38" s="583"/>
      <c r="AI38" s="584"/>
      <c r="AJ38" s="583"/>
      <c r="AK38" s="765" t="s">
        <v>47</v>
      </c>
      <c r="AL38" s="765"/>
      <c r="AM38" s="765"/>
      <c r="AN38" s="765"/>
      <c r="AO38" s="605">
        <f>SUM(AK37:AO37)/5</f>
        <v>0.1362130390283293</v>
      </c>
      <c r="AP38" s="605"/>
      <c r="AQ38" s="583"/>
      <c r="AR38" s="583"/>
    </row>
    <row r="39" spans="1:44" ht="13.5" thickBot="1">
      <c r="A39" s="597"/>
      <c r="B39" s="603"/>
      <c r="C39" s="603"/>
      <c r="D39" s="603"/>
      <c r="E39" s="603"/>
      <c r="F39" s="603"/>
      <c r="G39" s="603"/>
      <c r="H39" s="598"/>
      <c r="I39" s="597"/>
      <c r="J39" s="603"/>
      <c r="K39" s="603"/>
      <c r="L39" s="603"/>
      <c r="M39" s="603"/>
      <c r="N39" s="603"/>
      <c r="O39" s="603"/>
      <c r="P39" s="603"/>
      <c r="Q39" s="598"/>
      <c r="R39" s="597"/>
      <c r="S39" s="603"/>
      <c r="T39" s="603"/>
      <c r="U39" s="603"/>
      <c r="V39" s="603"/>
      <c r="W39" s="603"/>
      <c r="X39" s="603"/>
      <c r="Y39" s="598"/>
      <c r="Z39" s="597"/>
      <c r="AA39" s="603"/>
      <c r="AB39" s="603"/>
      <c r="AC39" s="603"/>
      <c r="AD39" s="603"/>
      <c r="AE39" s="603"/>
      <c r="AF39" s="604"/>
      <c r="AG39" s="604"/>
      <c r="AH39" s="598"/>
      <c r="AI39" s="597"/>
      <c r="AJ39" s="603"/>
      <c r="AK39" s="603"/>
      <c r="AL39" s="603"/>
      <c r="AM39" s="603"/>
      <c r="AN39" s="603"/>
      <c r="AO39" s="603"/>
      <c r="AP39" s="603"/>
      <c r="AQ39" s="598"/>
      <c r="AR39" s="598"/>
    </row>
    <row r="40" spans="1:45" ht="51.75" thickTop="1">
      <c r="A40" s="584"/>
      <c r="B40" s="602"/>
      <c r="C40" s="598"/>
      <c r="D40" s="598"/>
      <c r="E40" s="598"/>
      <c r="F40" s="598"/>
      <c r="G40" s="598"/>
      <c r="H40" s="598"/>
      <c r="I40" s="584"/>
      <c r="J40" s="602"/>
      <c r="K40" s="598"/>
      <c r="L40" s="598"/>
      <c r="M40" s="598"/>
      <c r="N40" s="598"/>
      <c r="O40" s="598"/>
      <c r="P40" s="598"/>
      <c r="Q40" s="598"/>
      <c r="R40" s="584"/>
      <c r="S40" s="602"/>
      <c r="T40" s="598"/>
      <c r="U40" s="598"/>
      <c r="V40" s="598"/>
      <c r="W40" s="598"/>
      <c r="X40" s="598"/>
      <c r="Y40" s="598"/>
      <c r="Z40" s="584"/>
      <c r="AA40" s="602"/>
      <c r="AB40" s="598"/>
      <c r="AC40" s="598"/>
      <c r="AD40" s="598"/>
      <c r="AE40" s="598"/>
      <c r="AF40" s="598"/>
      <c r="AG40" s="598"/>
      <c r="AH40" s="598"/>
      <c r="AI40" s="584"/>
      <c r="AJ40" s="601"/>
      <c r="AK40" s="600" t="s">
        <v>92</v>
      </c>
      <c r="AL40" s="600" t="s">
        <v>72</v>
      </c>
      <c r="AM40" s="600" t="s">
        <v>93</v>
      </c>
      <c r="AN40" s="600" t="s">
        <v>94</v>
      </c>
      <c r="AO40" s="600"/>
      <c r="AP40" s="600"/>
      <c r="AQ40" s="600" t="s">
        <v>95</v>
      </c>
      <c r="AR40" s="599" t="s">
        <v>96</v>
      </c>
      <c r="AS40" s="599" t="s">
        <v>96</v>
      </c>
    </row>
    <row r="41" spans="1:45" ht="63.75">
      <c r="A41" s="597"/>
      <c r="B41" s="592"/>
      <c r="C41" s="592"/>
      <c r="D41" s="592"/>
      <c r="E41" s="592"/>
      <c r="F41" s="592"/>
      <c r="G41" s="592"/>
      <c r="H41" s="598"/>
      <c r="I41" s="597"/>
      <c r="J41" s="592"/>
      <c r="K41" s="592"/>
      <c r="L41" s="592"/>
      <c r="M41" s="592"/>
      <c r="N41" s="592"/>
      <c r="O41" s="592"/>
      <c r="P41" s="592"/>
      <c r="Q41" s="598"/>
      <c r="R41" s="597"/>
      <c r="S41" s="592"/>
      <c r="T41" s="592"/>
      <c r="U41" s="592"/>
      <c r="V41" s="592"/>
      <c r="W41" s="592"/>
      <c r="X41" s="592"/>
      <c r="Y41" s="598"/>
      <c r="Z41" s="597"/>
      <c r="AA41" s="592"/>
      <c r="AB41" s="592"/>
      <c r="AC41" s="592"/>
      <c r="AD41" s="592"/>
      <c r="AE41" s="592"/>
      <c r="AF41" s="592"/>
      <c r="AG41" s="592"/>
      <c r="AH41" s="598"/>
      <c r="AI41" s="597"/>
      <c r="AJ41" s="596" t="s">
        <v>97</v>
      </c>
      <c r="AK41" s="594">
        <f>AK5</f>
        <v>2696.378986</v>
      </c>
      <c r="AL41" s="594">
        <f>AB5</f>
        <v>4548.5989798</v>
      </c>
      <c r="AM41" s="594">
        <f>C5+K5</f>
        <v>7857.1374</v>
      </c>
      <c r="AN41" s="594">
        <f>T5</f>
        <v>359.1936217</v>
      </c>
      <c r="AO41" s="595">
        <f>SUM(AK41:AN41)</f>
        <v>15461.3089875</v>
      </c>
      <c r="AP41" s="595"/>
      <c r="AQ41" s="594">
        <f>0.1*AO41</f>
        <v>1546.1308987500001</v>
      </c>
      <c r="AR41" s="593">
        <f>0.5*AO41</f>
        <v>7730.65449375</v>
      </c>
      <c r="AS41" s="593">
        <f>0.5*AQ41</f>
        <v>773.0654493750001</v>
      </c>
    </row>
    <row r="42" spans="1:45" ht="63.75">
      <c r="A42" s="597"/>
      <c r="B42" s="592"/>
      <c r="C42" s="592"/>
      <c r="D42" s="592"/>
      <c r="E42" s="592"/>
      <c r="F42" s="592"/>
      <c r="G42" s="592"/>
      <c r="H42" s="598"/>
      <c r="I42" s="597"/>
      <c r="J42" s="592"/>
      <c r="K42" s="592"/>
      <c r="L42" s="592"/>
      <c r="M42" s="592"/>
      <c r="N42" s="592"/>
      <c r="O42" s="592"/>
      <c r="P42" s="592"/>
      <c r="Q42" s="598"/>
      <c r="R42" s="597"/>
      <c r="S42" s="592"/>
      <c r="T42" s="592"/>
      <c r="U42" s="592"/>
      <c r="V42" s="592"/>
      <c r="W42" s="592"/>
      <c r="X42" s="592"/>
      <c r="Y42" s="598"/>
      <c r="Z42" s="597"/>
      <c r="AA42" s="592"/>
      <c r="AB42" s="592"/>
      <c r="AC42" s="592"/>
      <c r="AD42" s="592"/>
      <c r="AE42" s="592"/>
      <c r="AF42" s="592"/>
      <c r="AG42" s="592"/>
      <c r="AH42" s="598"/>
      <c r="AI42" s="597"/>
      <c r="AJ42" s="596" t="s">
        <v>98</v>
      </c>
      <c r="AK42" s="594">
        <f>AL5</f>
        <v>2823</v>
      </c>
      <c r="AL42" s="594">
        <f>AC5</f>
        <v>5010.3</v>
      </c>
      <c r="AM42" s="594">
        <f>D5+L5</f>
        <v>7853.800000000001</v>
      </c>
      <c r="AN42" s="594">
        <f>U5</f>
        <v>437.01396236487267</v>
      </c>
      <c r="AO42" s="595">
        <f>SUM(AK42:AN42)</f>
        <v>16124.113962364874</v>
      </c>
      <c r="AP42" s="595"/>
      <c r="AQ42" s="594">
        <f>0.1*AO42</f>
        <v>1612.4113962364875</v>
      </c>
      <c r="AR42" s="593">
        <f>0.5*AO42</f>
        <v>8062.056981182437</v>
      </c>
      <c r="AS42" s="593">
        <f>0.5*AQ42</f>
        <v>806.2056981182437</v>
      </c>
    </row>
    <row r="43" spans="1:45" ht="64.5" thickBot="1">
      <c r="A43" s="584"/>
      <c r="B43" s="583"/>
      <c r="C43" s="583"/>
      <c r="D43" s="583"/>
      <c r="E43" s="583"/>
      <c r="F43" s="583"/>
      <c r="G43" s="583"/>
      <c r="H43" s="583"/>
      <c r="I43" s="591" t="s">
        <v>99</v>
      </c>
      <c r="J43" s="592">
        <f aca="true" t="shared" si="19" ref="J43:O43">SUM(B36+J36)</f>
        <v>25299.2369</v>
      </c>
      <c r="K43" s="592">
        <f t="shared" si="19"/>
        <v>27576.000399999997</v>
      </c>
      <c r="L43" s="592">
        <f t="shared" si="19"/>
        <v>30179.276700000002</v>
      </c>
      <c r="M43" s="592">
        <f t="shared" si="19"/>
        <v>33180.871</v>
      </c>
      <c r="N43" s="592">
        <f t="shared" si="19"/>
        <v>36681.744099999996</v>
      </c>
      <c r="O43" s="592">
        <f t="shared" si="19"/>
        <v>39991.37840000001</v>
      </c>
      <c r="P43" s="592"/>
      <c r="Q43" s="583"/>
      <c r="R43" s="591"/>
      <c r="S43" s="592"/>
      <c r="T43" s="592"/>
      <c r="U43" s="592"/>
      <c r="V43" s="592"/>
      <c r="W43" s="592"/>
      <c r="X43" s="592"/>
      <c r="Y43" s="583"/>
      <c r="Z43" s="591"/>
      <c r="AA43" s="592"/>
      <c r="AB43" s="592"/>
      <c r="AC43" s="592"/>
      <c r="AD43" s="592"/>
      <c r="AE43" s="592"/>
      <c r="AF43" s="592"/>
      <c r="AG43" s="592"/>
      <c r="AH43" s="583"/>
      <c r="AI43" s="591"/>
      <c r="AJ43" s="590" t="s">
        <v>100</v>
      </c>
      <c r="AK43" s="588">
        <f>AM5</f>
        <v>2922</v>
      </c>
      <c r="AL43" s="588">
        <f>AD5</f>
        <v>5420.5</v>
      </c>
      <c r="AM43" s="588">
        <f>E5+M5</f>
        <v>8394.900000000001</v>
      </c>
      <c r="AN43" s="588">
        <f>W5</f>
        <v>646.8874202201233</v>
      </c>
      <c r="AO43" s="589">
        <f>SUM(AK43:AN43)</f>
        <v>17384.287420220124</v>
      </c>
      <c r="AP43" s="589"/>
      <c r="AQ43" s="588">
        <f>0.1*AO43</f>
        <v>1738.4287420220126</v>
      </c>
      <c r="AR43" s="587">
        <f>0.5*AO43</f>
        <v>8692.143710110062</v>
      </c>
      <c r="AS43" s="587">
        <f>0.5*AQ43</f>
        <v>869.2143710110063</v>
      </c>
    </row>
    <row r="44" spans="1:45" ht="13.5" thickTop="1">
      <c r="A44" s="584"/>
      <c r="B44" s="586"/>
      <c r="C44" s="586"/>
      <c r="D44" s="586"/>
      <c r="E44" s="586"/>
      <c r="F44" s="586"/>
      <c r="G44" s="586"/>
      <c r="H44" s="586"/>
      <c r="I44" s="584"/>
      <c r="J44" s="586"/>
      <c r="K44" s="586"/>
      <c r="L44" s="586"/>
      <c r="M44" s="586"/>
      <c r="N44" s="586"/>
      <c r="O44" s="586"/>
      <c r="P44" s="586"/>
      <c r="Q44" s="585"/>
      <c r="R44" s="584"/>
      <c r="S44" s="586"/>
      <c r="T44" s="586"/>
      <c r="U44" s="586"/>
      <c r="V44" s="586"/>
      <c r="W44" s="586"/>
      <c r="X44" s="586"/>
      <c r="Y44" s="585"/>
      <c r="Z44" s="584"/>
      <c r="AA44" s="586"/>
      <c r="AB44" s="586"/>
      <c r="AC44" s="586"/>
      <c r="AD44" s="586"/>
      <c r="AE44" s="586"/>
      <c r="AF44" s="586"/>
      <c r="AG44" s="586"/>
      <c r="AH44" s="585"/>
      <c r="AI44" s="584"/>
      <c r="AJ44" s="586"/>
      <c r="AK44" s="586"/>
      <c r="AL44" s="586"/>
      <c r="AM44" s="586"/>
      <c r="AN44" s="586"/>
      <c r="AO44" s="586"/>
      <c r="AP44" s="586"/>
      <c r="AQ44" s="585"/>
      <c r="AR44" s="585"/>
      <c r="AS44" s="583"/>
    </row>
    <row r="45" spans="1:48" ht="25.5">
      <c r="A45" s="584"/>
      <c r="B45" s="583"/>
      <c r="C45" s="583"/>
      <c r="D45" s="583"/>
      <c r="E45" s="583"/>
      <c r="F45" s="583"/>
      <c r="G45" s="583"/>
      <c r="H45" s="583"/>
      <c r="I45" s="584"/>
      <c r="J45" s="583"/>
      <c r="K45" s="583"/>
      <c r="L45" s="583"/>
      <c r="M45" s="583"/>
      <c r="N45" s="583"/>
      <c r="O45" s="583"/>
      <c r="P45" s="583"/>
      <c r="Q45" s="583"/>
      <c r="R45" s="584"/>
      <c r="S45" s="583"/>
      <c r="T45" s="583"/>
      <c r="U45" s="583"/>
      <c r="V45" s="583"/>
      <c r="W45" s="583"/>
      <c r="X45" s="583"/>
      <c r="Y45" s="583"/>
      <c r="Z45" s="584"/>
      <c r="AA45" s="583"/>
      <c r="AB45" s="583"/>
      <c r="AC45" s="583"/>
      <c r="AD45" s="583"/>
      <c r="AE45" s="583"/>
      <c r="AF45" s="583"/>
      <c r="AG45" s="583"/>
      <c r="AH45" s="583"/>
      <c r="AI45" s="584"/>
      <c r="AJ45" s="583"/>
      <c r="AK45" s="583"/>
      <c r="AL45" s="583"/>
      <c r="AM45" s="583"/>
      <c r="AN45" s="583"/>
      <c r="AO45" s="583"/>
      <c r="AP45" s="583"/>
      <c r="AQ45" s="583"/>
      <c r="AR45" s="583"/>
      <c r="AS45" s="583"/>
      <c r="AT45" s="1" t="s">
        <v>430</v>
      </c>
      <c r="AU45" s="1" t="s">
        <v>429</v>
      </c>
      <c r="AV45" s="1" t="s">
        <v>428</v>
      </c>
    </row>
    <row r="46" spans="1:48" ht="12.7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5"/>
      <c r="AT46" s="1">
        <f>365*24*0.35</f>
        <v>3066</v>
      </c>
      <c r="AU46" s="1">
        <f>365*24*0.6</f>
        <v>5256</v>
      </c>
      <c r="AV46" s="1">
        <f>0.5*AM43</f>
        <v>4197.450000000001</v>
      </c>
    </row>
    <row r="47" spans="1:47" ht="20.25">
      <c r="A47" s="746" t="s">
        <v>73</v>
      </c>
      <c r="B47" s="747"/>
      <c r="C47" s="747"/>
      <c r="I47" s="1"/>
      <c r="Q47" s="15"/>
      <c r="R47" s="1"/>
      <c r="Y47" s="15"/>
      <c r="Z47" s="15"/>
      <c r="AT47" s="1">
        <f>AT46/AK43</f>
        <v>1.0492813141683779</v>
      </c>
      <c r="AU47" s="1">
        <f>AU46/AK43</f>
        <v>1.7987679671457906</v>
      </c>
    </row>
    <row r="48" spans="1:48" ht="40.5" customHeight="1">
      <c r="A48" s="518"/>
      <c r="B48" s="30" t="s">
        <v>74</v>
      </c>
      <c r="C48" s="31" t="s">
        <v>75</v>
      </c>
      <c r="I48" s="1"/>
      <c r="Q48" s="15"/>
      <c r="R48" s="1"/>
      <c r="Y48" s="15"/>
      <c r="Z48" s="15"/>
      <c r="AT48" s="1">
        <f>AT46/AO43</f>
        <v>0.17636615904278333</v>
      </c>
      <c r="AU48" s="1">
        <f>AU46/AO43</f>
        <v>0.3023419869304857</v>
      </c>
      <c r="AV48" s="1">
        <f>AV46/AO43</f>
        <v>0.2414507939576422</v>
      </c>
    </row>
    <row r="49" spans="1:26" ht="12.75">
      <c r="A49" s="519" t="s">
        <v>59</v>
      </c>
      <c r="B49" s="33">
        <v>2738.5</v>
      </c>
      <c r="C49" s="34">
        <f>B49*640</f>
        <v>1752640</v>
      </c>
      <c r="D49" s="15"/>
      <c r="E49" s="15"/>
      <c r="F49" s="15"/>
      <c r="G49" s="15"/>
      <c r="H49" s="15"/>
      <c r="I49" s="1"/>
      <c r="Q49" s="15"/>
      <c r="R49" s="1"/>
      <c r="Y49" s="15"/>
      <c r="Z49" s="15"/>
    </row>
    <row r="50" spans="1:18" ht="45" customHeight="1">
      <c r="A50" s="519" t="s">
        <v>60</v>
      </c>
      <c r="B50" s="33">
        <v>3316</v>
      </c>
      <c r="C50" s="34">
        <f>B50*640</f>
        <v>2122240</v>
      </c>
      <c r="D50" s="15"/>
      <c r="E50" s="15"/>
      <c r="F50" s="15"/>
      <c r="G50" s="15"/>
      <c r="H50" s="15"/>
      <c r="I50" s="376"/>
      <c r="R50" s="376"/>
    </row>
    <row r="51" spans="1:3" ht="12.75">
      <c r="A51" s="519" t="s">
        <v>61</v>
      </c>
      <c r="B51" s="33">
        <v>1843</v>
      </c>
      <c r="C51" s="34">
        <f>B51*640</f>
        <v>1179520</v>
      </c>
    </row>
    <row r="52" spans="1:3" ht="12.75">
      <c r="A52" s="519" t="s">
        <v>58</v>
      </c>
      <c r="B52" s="377">
        <f>SUM(B49:B51)</f>
        <v>7897.5</v>
      </c>
      <c r="C52" s="34">
        <f>B52*640</f>
        <v>5054400</v>
      </c>
    </row>
  </sheetData>
  <mergeCells count="43">
    <mergeCell ref="AI32:AQ32"/>
    <mergeCell ref="C38:F38"/>
    <mergeCell ref="K38:N38"/>
    <mergeCell ref="T38:W38"/>
    <mergeCell ref="AB38:AE38"/>
    <mergeCell ref="AK38:AN38"/>
    <mergeCell ref="A32:H32"/>
    <mergeCell ref="I32:Q32"/>
    <mergeCell ref="R32:Y32"/>
    <mergeCell ref="Z32:AH32"/>
    <mergeCell ref="AI22:AQ22"/>
    <mergeCell ref="AK29:AN29"/>
    <mergeCell ref="C29:F29"/>
    <mergeCell ref="K29:N29"/>
    <mergeCell ref="T29:W29"/>
    <mergeCell ref="AB29:AE29"/>
    <mergeCell ref="I12:Q12"/>
    <mergeCell ref="R12:Y12"/>
    <mergeCell ref="Z12:AH12"/>
    <mergeCell ref="A22:H22"/>
    <mergeCell ref="I22:Q22"/>
    <mergeCell ref="R22:Y22"/>
    <mergeCell ref="Z22:AH22"/>
    <mergeCell ref="AI1:AQ1"/>
    <mergeCell ref="A47:C47"/>
    <mergeCell ref="Z1:AH1"/>
    <mergeCell ref="AI12:AQ12"/>
    <mergeCell ref="C19:F19"/>
    <mergeCell ref="K19:N19"/>
    <mergeCell ref="T19:W19"/>
    <mergeCell ref="AB19:AE19"/>
    <mergeCell ref="AK19:AN19"/>
    <mergeCell ref="A12:H12"/>
    <mergeCell ref="AU1:AV1"/>
    <mergeCell ref="AW1:AX1"/>
    <mergeCell ref="C8:F8"/>
    <mergeCell ref="K8:N8"/>
    <mergeCell ref="T8:W8"/>
    <mergeCell ref="AB8:AE8"/>
    <mergeCell ref="AK8:AN8"/>
    <mergeCell ref="A1:H1"/>
    <mergeCell ref="I1:Q1"/>
    <mergeCell ref="R1:Y1"/>
  </mergeCell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P87"/>
  <sheetViews>
    <sheetView zoomScale="90" zoomScaleNormal="90" workbookViewId="0" topLeftCell="A7">
      <selection activeCell="H16" sqref="H16"/>
    </sheetView>
  </sheetViews>
  <sheetFormatPr defaultColWidth="9.140625" defaultRowHeight="12.75"/>
  <cols>
    <col min="1" max="1" width="13.421875" style="0" customWidth="1"/>
    <col min="2" max="3" width="11.421875" style="0" customWidth="1"/>
    <col min="4" max="4" width="13.421875" style="0" customWidth="1"/>
    <col min="5" max="5" width="12.421875" style="0" customWidth="1"/>
    <col min="6" max="6" width="12.00390625" style="0" customWidth="1"/>
    <col min="7" max="7" width="12.421875" style="0" customWidth="1"/>
    <col min="8" max="8" width="13.28125" style="0" customWidth="1"/>
    <col min="9" max="9" width="12.00390625" style="0" customWidth="1"/>
    <col min="10" max="10" width="10.421875" style="0" customWidth="1"/>
    <col min="11" max="11" width="14.28125" style="0" customWidth="1"/>
    <col min="12" max="12" width="10.140625" style="0" customWidth="1"/>
    <col min="13" max="13" width="11.421875" style="0" customWidth="1"/>
    <col min="14" max="14" width="11.28125" style="0" customWidth="1"/>
    <col min="15" max="16" width="8.8515625" style="0" customWidth="1"/>
    <col min="17" max="17" width="11.140625" style="0" customWidth="1"/>
    <col min="18" max="21" width="8.8515625" style="0" customWidth="1"/>
    <col min="22" max="22" width="14.8515625" style="0" customWidth="1"/>
    <col min="23" max="23" width="10.00390625" style="0" customWidth="1"/>
    <col min="24" max="24" width="11.421875" style="0" customWidth="1"/>
    <col min="25" max="25" width="11.7109375" style="0" customWidth="1"/>
    <col min="26" max="26" width="11.00390625" style="0" customWidth="1"/>
    <col min="27" max="27" width="11.7109375" style="0" customWidth="1"/>
    <col min="28" max="28" width="13.28125" style="0" customWidth="1"/>
    <col min="29" max="30" width="17.140625" style="0" customWidth="1"/>
    <col min="31" max="32" width="10.421875" style="0" customWidth="1"/>
    <col min="33" max="48" width="13.7109375" style="0" customWidth="1"/>
    <col min="49" max="16384" width="8.8515625" style="0" customWidth="1"/>
  </cols>
  <sheetData>
    <row r="1" spans="1:28" ht="30.75" customHeight="1">
      <c r="A1" s="766" t="s">
        <v>104</v>
      </c>
      <c r="B1" s="766"/>
      <c r="C1" s="766"/>
      <c r="D1" s="766"/>
      <c r="E1" s="766"/>
      <c r="F1" s="766"/>
      <c r="G1" s="766"/>
      <c r="H1" s="766"/>
      <c r="I1" s="766" t="s">
        <v>105</v>
      </c>
      <c r="J1" s="766"/>
      <c r="K1" s="766"/>
      <c r="L1" s="766"/>
      <c r="M1" s="766"/>
      <c r="N1" s="766"/>
      <c r="O1" s="766"/>
      <c r="P1" s="766"/>
      <c r="Q1" s="766"/>
      <c r="R1" s="766" t="s">
        <v>106</v>
      </c>
      <c r="S1" s="766"/>
      <c r="T1" s="766"/>
      <c r="U1" s="766"/>
      <c r="V1" s="766"/>
      <c r="W1" s="766"/>
      <c r="X1" s="766"/>
      <c r="Y1" s="767"/>
      <c r="Z1" s="567">
        <v>33.7</v>
      </c>
      <c r="AA1" s="567" t="s">
        <v>107</v>
      </c>
      <c r="AB1" s="502"/>
    </row>
    <row r="2" spans="1:28" ht="25.5">
      <c r="A2" s="85"/>
      <c r="B2" s="86"/>
      <c r="C2" s="86"/>
      <c r="D2" s="86"/>
      <c r="E2" s="86"/>
      <c r="F2" s="86"/>
      <c r="G2" s="86"/>
      <c r="H2" s="86"/>
      <c r="I2" s="85"/>
      <c r="J2" s="86"/>
      <c r="K2" s="86"/>
      <c r="L2" s="86"/>
      <c r="M2" s="86"/>
      <c r="N2" s="86"/>
      <c r="O2" s="86"/>
      <c r="P2" s="86"/>
      <c r="Q2" s="86"/>
      <c r="R2" s="101"/>
      <c r="S2" s="101"/>
      <c r="T2" s="101"/>
      <c r="U2" s="101"/>
      <c r="V2" s="101"/>
      <c r="W2" s="101"/>
      <c r="X2" s="101"/>
      <c r="Y2" s="85"/>
      <c r="Z2" s="567">
        <v>29.3</v>
      </c>
      <c r="AA2" s="567" t="s">
        <v>108</v>
      </c>
      <c r="AB2" s="502"/>
    </row>
    <row r="3" spans="1:28" ht="12.75">
      <c r="A3" s="87"/>
      <c r="B3" s="84">
        <v>2000</v>
      </c>
      <c r="C3" s="84">
        <v>2005</v>
      </c>
      <c r="D3" s="84">
        <v>2010</v>
      </c>
      <c r="E3" s="84">
        <v>2015</v>
      </c>
      <c r="F3" s="84">
        <v>2020</v>
      </c>
      <c r="G3" s="84">
        <v>2025</v>
      </c>
      <c r="H3" s="84">
        <v>2030</v>
      </c>
      <c r="I3" s="87"/>
      <c r="J3" s="84">
        <v>2000</v>
      </c>
      <c r="K3" s="84">
        <v>2005</v>
      </c>
      <c r="L3" s="84">
        <v>2010</v>
      </c>
      <c r="M3" s="84">
        <v>2015</v>
      </c>
      <c r="N3" s="84">
        <v>2020</v>
      </c>
      <c r="O3" s="84">
        <v>2025</v>
      </c>
      <c r="P3" s="84">
        <v>2030</v>
      </c>
      <c r="Q3" s="84"/>
      <c r="R3" s="102"/>
      <c r="S3" s="103">
        <v>2000</v>
      </c>
      <c r="T3" s="103">
        <v>2005</v>
      </c>
      <c r="U3" s="103">
        <v>2010</v>
      </c>
      <c r="V3" s="103">
        <v>2015</v>
      </c>
      <c r="W3" s="103">
        <v>2020</v>
      </c>
      <c r="X3" s="103">
        <v>2025</v>
      </c>
      <c r="Y3" s="90">
        <v>2030</v>
      </c>
      <c r="Z3" s="502">
        <v>40.7</v>
      </c>
      <c r="AA3" s="502" t="s">
        <v>107</v>
      </c>
      <c r="AB3" s="502" t="s">
        <v>94</v>
      </c>
    </row>
    <row r="4" spans="1:26" ht="25.5">
      <c r="A4" s="88" t="s">
        <v>41</v>
      </c>
      <c r="B4" s="89">
        <v>165.8</v>
      </c>
      <c r="C4" s="89">
        <v>183.884</v>
      </c>
      <c r="D4" s="89">
        <v>179</v>
      </c>
      <c r="E4" s="89">
        <v>186</v>
      </c>
      <c r="F4" s="89">
        <v>195</v>
      </c>
      <c r="G4" s="89">
        <v>202</v>
      </c>
      <c r="H4" s="89">
        <v>207</v>
      </c>
      <c r="I4" s="88" t="s">
        <v>41</v>
      </c>
      <c r="J4" s="89">
        <v>27.635</v>
      </c>
      <c r="K4" s="89">
        <v>27.69</v>
      </c>
      <c r="L4" s="89">
        <v>32</v>
      </c>
      <c r="M4" s="89">
        <v>39</v>
      </c>
      <c r="N4" s="89">
        <v>47</v>
      </c>
      <c r="O4" s="89">
        <v>56</v>
      </c>
      <c r="P4" s="89">
        <v>65</v>
      </c>
      <c r="Q4" s="89"/>
      <c r="R4" s="105"/>
      <c r="S4" s="106"/>
      <c r="T4" s="106"/>
      <c r="U4" s="106"/>
      <c r="V4" s="106"/>
      <c r="W4" s="106"/>
      <c r="X4" s="106"/>
      <c r="Y4" s="106"/>
      <c r="Z4" s="104"/>
    </row>
    <row r="5" spans="1:26" ht="18.75" customHeight="1">
      <c r="A5" s="92" t="s">
        <v>15</v>
      </c>
      <c r="B5" s="91">
        <v>6068.28</v>
      </c>
      <c r="C5" s="91">
        <v>6730.154399999999</v>
      </c>
      <c r="D5" s="91">
        <v>6551.4</v>
      </c>
      <c r="E5" s="91">
        <v>6807.6</v>
      </c>
      <c r="F5" s="91">
        <v>7137</v>
      </c>
      <c r="G5" s="91">
        <v>7393.2</v>
      </c>
      <c r="H5" s="91">
        <v>7576.2</v>
      </c>
      <c r="I5" s="88" t="s">
        <v>15</v>
      </c>
      <c r="J5" s="91">
        <f aca="true" t="shared" si="0" ref="J5:P5">J4*40.7</f>
        <v>1124.7445000000002</v>
      </c>
      <c r="K5" s="91">
        <f t="shared" si="0"/>
        <v>1126.9830000000002</v>
      </c>
      <c r="L5" s="91">
        <f t="shared" si="0"/>
        <v>1302.4</v>
      </c>
      <c r="M5" s="91">
        <f t="shared" si="0"/>
        <v>1587.3000000000002</v>
      </c>
      <c r="N5" s="91">
        <f t="shared" si="0"/>
        <v>1912.9</v>
      </c>
      <c r="O5" s="91">
        <f t="shared" si="0"/>
        <v>2279.2000000000003</v>
      </c>
      <c r="P5" s="91">
        <f t="shared" si="0"/>
        <v>2645.5</v>
      </c>
      <c r="Q5" s="93"/>
      <c r="R5" s="105" t="s">
        <v>15</v>
      </c>
      <c r="S5" s="107">
        <v>226.8082563</v>
      </c>
      <c r="T5" s="107">
        <v>359.1936217</v>
      </c>
      <c r="U5" s="107">
        <v>437.01396236487267</v>
      </c>
      <c r="V5" s="107">
        <v>531.6943057005468</v>
      </c>
      <c r="W5" s="107">
        <v>646.8874202201233</v>
      </c>
      <c r="X5" s="107">
        <v>787.0374573368616</v>
      </c>
      <c r="Y5" s="107">
        <v>957.551406766409</v>
      </c>
      <c r="Z5" s="104"/>
    </row>
    <row r="6" spans="1:26" ht="38.25">
      <c r="A6" s="92"/>
      <c r="B6" s="94" t="s">
        <v>45</v>
      </c>
      <c r="C6" s="95">
        <f aca="true" t="shared" si="1" ref="C6:H6">(C4/B4)-1</f>
        <v>0.1090711700844389</v>
      </c>
      <c r="D6" s="95">
        <f t="shared" si="1"/>
        <v>-0.026560222749124396</v>
      </c>
      <c r="E6" s="95">
        <f t="shared" si="1"/>
        <v>0.03910614525139655</v>
      </c>
      <c r="F6" s="95">
        <f t="shared" si="1"/>
        <v>0.048387096774193505</v>
      </c>
      <c r="G6" s="95">
        <f t="shared" si="1"/>
        <v>0.03589743589743599</v>
      </c>
      <c r="H6" s="95">
        <f t="shared" si="1"/>
        <v>0.024752475247524774</v>
      </c>
      <c r="I6" s="92"/>
      <c r="J6" s="94" t="s">
        <v>45</v>
      </c>
      <c r="K6" s="95">
        <f aca="true" t="shared" si="2" ref="K6:P6">(K4/J4)-1</f>
        <v>0.0019902297810747704</v>
      </c>
      <c r="L6" s="95">
        <f t="shared" si="2"/>
        <v>0.15565185987721186</v>
      </c>
      <c r="M6" s="95">
        <f t="shared" si="2"/>
        <v>0.21875</v>
      </c>
      <c r="N6" s="95">
        <f t="shared" si="2"/>
        <v>0.20512820512820507</v>
      </c>
      <c r="O6" s="95">
        <f t="shared" si="2"/>
        <v>0.1914893617021276</v>
      </c>
      <c r="P6" s="95">
        <f t="shared" si="2"/>
        <v>0.1607142857142858</v>
      </c>
      <c r="Q6" s="96"/>
      <c r="R6" s="108"/>
      <c r="S6" s="109" t="s">
        <v>45</v>
      </c>
      <c r="T6" s="110"/>
      <c r="U6" s="110"/>
      <c r="V6" s="110"/>
      <c r="W6" s="110"/>
      <c r="X6" s="111"/>
      <c r="Y6" s="111"/>
      <c r="Z6" s="104"/>
    </row>
    <row r="7" spans="1:26" ht="12.75">
      <c r="A7" s="92"/>
      <c r="B7" s="97"/>
      <c r="C7" s="97"/>
      <c r="D7" s="97"/>
      <c r="E7" s="97"/>
      <c r="F7" s="97"/>
      <c r="G7" s="97"/>
      <c r="H7" s="97"/>
      <c r="I7" s="92"/>
      <c r="J7" s="97"/>
      <c r="K7" s="97"/>
      <c r="L7" s="97"/>
      <c r="M7" s="97"/>
      <c r="N7" s="97"/>
      <c r="O7" s="97"/>
      <c r="P7" s="97"/>
      <c r="Q7" s="97"/>
      <c r="R7" s="108"/>
      <c r="S7" s="107"/>
      <c r="T7" s="107"/>
      <c r="U7" s="107"/>
      <c r="V7" s="107"/>
      <c r="W7" s="107"/>
      <c r="X7" s="107"/>
      <c r="Y7" s="107"/>
      <c r="Z7" s="104"/>
    </row>
    <row r="8" spans="1:26" ht="24" customHeight="1">
      <c r="A8" s="92" t="s">
        <v>109</v>
      </c>
      <c r="B8" s="97">
        <f>1/$D$35</f>
        <v>1.25</v>
      </c>
      <c r="C8" s="768" t="s">
        <v>47</v>
      </c>
      <c r="D8" s="768"/>
      <c r="E8" s="768"/>
      <c r="F8" s="768"/>
      <c r="G8" s="95">
        <f>SUM(C6:G6)/5</f>
        <v>0.04118032505166811</v>
      </c>
      <c r="H8" s="97"/>
      <c r="I8" s="92" t="s">
        <v>109</v>
      </c>
      <c r="J8" s="97">
        <f>1/$D$35</f>
        <v>1.25</v>
      </c>
      <c r="K8" s="768" t="s">
        <v>47</v>
      </c>
      <c r="L8" s="768"/>
      <c r="M8" s="768"/>
      <c r="N8" s="768"/>
      <c r="O8" s="95">
        <f>SUM(K6:O6)/5</f>
        <v>0.15460193129772387</v>
      </c>
      <c r="P8" s="95"/>
      <c r="Q8" s="97"/>
      <c r="R8" s="92" t="s">
        <v>109</v>
      </c>
      <c r="S8" s="112">
        <f>1/$D$35</f>
        <v>1.25</v>
      </c>
      <c r="T8" s="769" t="s">
        <v>47</v>
      </c>
      <c r="U8" s="769"/>
      <c r="V8" s="769"/>
      <c r="W8" s="769"/>
      <c r="X8" s="111"/>
      <c r="Y8" s="107"/>
      <c r="Z8" s="104"/>
    </row>
    <row r="9" spans="1:26" ht="25.5">
      <c r="A9" s="92" t="s">
        <v>110</v>
      </c>
      <c r="B9" s="113">
        <f aca="true" t="shared" si="3" ref="B9:H9">$B$8*B5</f>
        <v>7585.349999999999</v>
      </c>
      <c r="C9" s="113">
        <f t="shared" si="3"/>
        <v>8412.693</v>
      </c>
      <c r="D9" s="113">
        <f t="shared" si="3"/>
        <v>8189.25</v>
      </c>
      <c r="E9" s="113">
        <f t="shared" si="3"/>
        <v>8509.5</v>
      </c>
      <c r="F9" s="113">
        <f t="shared" si="3"/>
        <v>8921.25</v>
      </c>
      <c r="G9" s="113">
        <f t="shared" si="3"/>
        <v>9241.5</v>
      </c>
      <c r="H9" s="113">
        <f t="shared" si="3"/>
        <v>9470.25</v>
      </c>
      <c r="I9" s="92" t="s">
        <v>110</v>
      </c>
      <c r="J9" s="113">
        <f aca="true" t="shared" si="4" ref="J9:P9">J5*$J$8</f>
        <v>1405.9306250000004</v>
      </c>
      <c r="K9" s="113">
        <f t="shared" si="4"/>
        <v>1408.7287500000002</v>
      </c>
      <c r="L9" s="113">
        <f t="shared" si="4"/>
        <v>1628</v>
      </c>
      <c r="M9" s="113">
        <f t="shared" si="4"/>
        <v>1984.1250000000002</v>
      </c>
      <c r="N9" s="113">
        <f t="shared" si="4"/>
        <v>2391.125</v>
      </c>
      <c r="O9" s="113">
        <f t="shared" si="4"/>
        <v>2849.0000000000005</v>
      </c>
      <c r="P9" s="113">
        <f t="shared" si="4"/>
        <v>3306.875</v>
      </c>
      <c r="Q9" s="97"/>
      <c r="R9" s="108" t="s">
        <v>111</v>
      </c>
      <c r="S9" s="107">
        <f aca="true" t="shared" si="5" ref="S9:Y9">S5*$S$8</f>
        <v>283.510320375</v>
      </c>
      <c r="T9" s="107">
        <f t="shared" si="5"/>
        <v>448.992027125</v>
      </c>
      <c r="U9" s="107">
        <f t="shared" si="5"/>
        <v>546.2674529560909</v>
      </c>
      <c r="V9" s="107">
        <f t="shared" si="5"/>
        <v>664.6178821256835</v>
      </c>
      <c r="W9" s="107">
        <f t="shared" si="5"/>
        <v>808.6092752751541</v>
      </c>
      <c r="X9" s="107">
        <f t="shared" si="5"/>
        <v>983.796821671077</v>
      </c>
      <c r="Y9" s="107">
        <f t="shared" si="5"/>
        <v>1196.9392584580112</v>
      </c>
      <c r="Z9" s="104"/>
    </row>
    <row r="10" spans="1:26" ht="39" thickBot="1">
      <c r="A10" s="99" t="s">
        <v>187</v>
      </c>
      <c r="B10" s="114"/>
      <c r="C10" s="114"/>
      <c r="D10" s="114"/>
      <c r="E10" s="114"/>
      <c r="F10" s="115"/>
      <c r="G10" s="115"/>
      <c r="H10" s="116"/>
      <c r="I10" s="99" t="s">
        <v>187</v>
      </c>
      <c r="J10" s="114"/>
      <c r="K10" s="114"/>
      <c r="L10" s="114"/>
      <c r="M10" s="114"/>
      <c r="N10" s="114"/>
      <c r="O10" s="117"/>
      <c r="P10" s="117"/>
      <c r="Q10" s="98"/>
      <c r="R10" s="118" t="s">
        <v>188</v>
      </c>
      <c r="S10" s="119"/>
      <c r="T10" s="119"/>
      <c r="U10" s="119"/>
      <c r="V10" s="119"/>
      <c r="W10" s="119"/>
      <c r="X10" s="119"/>
      <c r="Y10" s="119"/>
      <c r="Z10" s="104"/>
    </row>
    <row r="11" spans="1:23" s="25" customFormat="1" ht="27" customHeight="1" thickTop="1">
      <c r="A11" s="773" t="s">
        <v>112</v>
      </c>
      <c r="B11" s="774"/>
      <c r="C11" s="774"/>
      <c r="D11" s="774"/>
      <c r="E11" s="775"/>
      <c r="F11" s="51"/>
      <c r="G11" s="770" t="s">
        <v>113</v>
      </c>
      <c r="H11" s="771"/>
      <c r="I11" s="771"/>
      <c r="J11" s="771"/>
      <c r="K11" s="772"/>
      <c r="L11" s="120"/>
      <c r="M11" s="51"/>
      <c r="N11" s="51"/>
      <c r="O11" s="51"/>
      <c r="P11" s="121"/>
      <c r="Q11" s="51"/>
      <c r="R11" s="51"/>
      <c r="S11" s="51"/>
      <c r="T11" s="51"/>
      <c r="U11" s="51"/>
      <c r="V11" s="51"/>
      <c r="W11" s="51"/>
    </row>
    <row r="12" spans="1:20" ht="39.75" customHeight="1">
      <c r="A12" s="122" t="s">
        <v>114</v>
      </c>
      <c r="B12" s="123" t="s">
        <v>115</v>
      </c>
      <c r="C12" s="123" t="s">
        <v>116</v>
      </c>
      <c r="D12" s="123" t="s">
        <v>117</v>
      </c>
      <c r="E12" s="124" t="s">
        <v>118</v>
      </c>
      <c r="F12" s="2"/>
      <c r="G12" s="125" t="s">
        <v>119</v>
      </c>
      <c r="H12" s="126" t="s">
        <v>120</v>
      </c>
      <c r="I12" s="126" t="s">
        <v>116</v>
      </c>
      <c r="J12" s="126" t="s">
        <v>121</v>
      </c>
      <c r="K12" s="127" t="s">
        <v>122</v>
      </c>
      <c r="L12" s="2"/>
      <c r="M12" s="1"/>
      <c r="N12" s="1"/>
      <c r="O12" s="1"/>
      <c r="P12" s="1"/>
      <c r="Q12" s="1"/>
      <c r="R12" s="1"/>
      <c r="S12" s="1"/>
      <c r="T12" s="1"/>
    </row>
    <row r="13" spans="1:20" ht="39.75" customHeight="1">
      <c r="A13" s="122" t="s">
        <v>434</v>
      </c>
      <c r="B13" s="5">
        <f>C13*$F$4</f>
        <v>1.3763793127393555</v>
      </c>
      <c r="C13" s="128">
        <f>'[1]Results'!$I$92-'[1]Results'!$I$79</f>
        <v>0.007058355449945413</v>
      </c>
      <c r="D13" s="5">
        <f>E13*F5</f>
        <v>32.662347237784836</v>
      </c>
      <c r="E13" s="129">
        <f>C13*(1-E14)</f>
        <v>0.00457648132797882</v>
      </c>
      <c r="F13" s="130"/>
      <c r="G13" s="125" t="s">
        <v>343</v>
      </c>
      <c r="H13" s="131">
        <f>I13*H4</f>
        <v>0.30891061358531485</v>
      </c>
      <c r="I13" s="132">
        <f>'[1]Results'!$I$102-'[1]Results'!$I$79</f>
        <v>0.0014923218047599753</v>
      </c>
      <c r="J13" s="131">
        <f>K13*$H$5</f>
        <v>3.5299634431515075</v>
      </c>
      <c r="K13" s="133">
        <f>I13*(1-K14)</f>
        <v>0.00046592796430288373</v>
      </c>
      <c r="L13" s="134"/>
      <c r="M13" s="1"/>
      <c r="N13" s="1"/>
      <c r="O13" s="1"/>
      <c r="P13" s="1"/>
      <c r="Q13" s="1"/>
      <c r="R13" s="1"/>
      <c r="S13" s="1"/>
      <c r="T13" s="1"/>
    </row>
    <row r="14" spans="1:20" ht="51.75" customHeight="1">
      <c r="A14" s="122" t="s">
        <v>435</v>
      </c>
      <c r="B14" s="5">
        <f>C14*F4</f>
        <v>68.56631933820059</v>
      </c>
      <c r="C14" s="128">
        <f>B33/B32-1</f>
        <v>0.3516221504523107</v>
      </c>
      <c r="D14" s="5">
        <f>E14*$F$5</f>
        <v>2509.5272877781417</v>
      </c>
      <c r="E14" s="129">
        <f>C14</f>
        <v>0.3516221504523107</v>
      </c>
      <c r="F14" s="130"/>
      <c r="G14" s="125" t="s">
        <v>344</v>
      </c>
      <c r="H14" s="131">
        <f>I14*H4</f>
        <v>142.37111881427649</v>
      </c>
      <c r="I14" s="132">
        <f>B34/B32-1</f>
        <v>0.6877831826776641</v>
      </c>
      <c r="J14" s="131">
        <f>K14*$H$5</f>
        <v>5210.782948602519</v>
      </c>
      <c r="K14" s="133">
        <f>I14</f>
        <v>0.6877831826776641</v>
      </c>
      <c r="L14" s="135"/>
      <c r="R14" s="1"/>
      <c r="S14" s="1"/>
      <c r="T14" s="1"/>
    </row>
    <row r="15" spans="1:20" ht="30" customHeight="1">
      <c r="A15" s="122" t="s">
        <v>436</v>
      </c>
      <c r="B15" s="5">
        <f>C15*F4</f>
        <v>43.30910968240134</v>
      </c>
      <c r="C15" s="128">
        <f>D33</f>
        <v>0.22209799837128893</v>
      </c>
      <c r="D15" s="5">
        <f>E15*$F$5</f>
        <v>1020.4981849586143</v>
      </c>
      <c r="E15" s="129">
        <f>C15*(1-E14-E13)</f>
        <v>0.14298699523029484</v>
      </c>
      <c r="F15" s="136"/>
      <c r="G15" s="125" t="s">
        <v>350</v>
      </c>
      <c r="H15" s="131">
        <f>I15*H4</f>
        <v>118.48621792846126</v>
      </c>
      <c r="I15" s="132">
        <f>D34</f>
        <v>0.5723971880601993</v>
      </c>
      <c r="J15" s="131">
        <f>K15*$H$5</f>
        <v>1351.937527660751</v>
      </c>
      <c r="K15" s="133">
        <f>I15*(1-K14-K13)</f>
        <v>0.1784453324438044</v>
      </c>
      <c r="L15" s="137"/>
      <c r="R15" s="1"/>
      <c r="S15" s="1"/>
      <c r="T15" s="1"/>
    </row>
    <row r="16" spans="1:20" ht="39.75" customHeight="1">
      <c r="A16" s="122" t="s">
        <v>341</v>
      </c>
      <c r="B16" s="5">
        <f>(calculation!AU13-calculation!AU26)*(1+$B$35)*N4</f>
        <v>0.34690845935469017</v>
      </c>
      <c r="C16" s="128">
        <f>B16/F4</f>
        <v>0.0017790177402804625</v>
      </c>
      <c r="D16" s="5">
        <f>E16*$F$5</f>
        <v>8.174249152531214</v>
      </c>
      <c r="E16" s="138">
        <f>C16*(1-E14-E13)</f>
        <v>0.0011453340552796992</v>
      </c>
      <c r="F16" s="136"/>
      <c r="G16" s="125" t="s">
        <v>341</v>
      </c>
      <c r="H16" s="131">
        <f>(calculation!AU3-calculation!AU26)*(1+$B$35)*P4</f>
        <v>0.0019052413022492033</v>
      </c>
      <c r="I16" s="132">
        <f>H16/H4</f>
        <v>9.204064262073446E-06</v>
      </c>
      <c r="J16" s="131">
        <f>K16*$H$5</f>
        <v>0.021738960537293166</v>
      </c>
      <c r="K16" s="133">
        <f>I16*(1-K14-K13)</f>
        <v>2.8693752194098843E-06</v>
      </c>
      <c r="L16" s="137"/>
      <c r="M16" s="1"/>
      <c r="N16" s="1"/>
      <c r="O16" s="1"/>
      <c r="P16" s="1"/>
      <c r="Q16" s="1"/>
      <c r="R16" s="1"/>
      <c r="S16" s="1"/>
      <c r="T16" s="1"/>
    </row>
    <row r="17" spans="1:20" ht="27.75" customHeight="1">
      <c r="A17" s="122" t="s">
        <v>342</v>
      </c>
      <c r="B17" s="5">
        <f>F4*0.86%</f>
        <v>1.677</v>
      </c>
      <c r="C17" s="128">
        <f>B17/F4</f>
        <v>0.0086</v>
      </c>
      <c r="D17" s="5">
        <f>E17*$F$5</f>
        <v>39.515369138863036</v>
      </c>
      <c r="E17" s="138">
        <f>C17*(1-E13-E14)</f>
        <v>0.00553669176668951</v>
      </c>
      <c r="F17" s="136"/>
      <c r="G17" s="125" t="s">
        <v>351</v>
      </c>
      <c r="H17" s="131">
        <f>I17*H4</f>
        <v>14.8419</v>
      </c>
      <c r="I17" s="132">
        <f>7.17%</f>
        <v>0.0717</v>
      </c>
      <c r="J17" s="131">
        <f>K17*$H$5</f>
        <v>169.34730420632542</v>
      </c>
      <c r="K17" s="133">
        <f>I17*(1-K14-K13)</f>
        <v>0.022352538766970964</v>
      </c>
      <c r="L17" s="137"/>
      <c r="M17" s="1"/>
      <c r="N17" s="1"/>
      <c r="O17" s="1"/>
      <c r="P17" s="1"/>
      <c r="Q17" s="1"/>
      <c r="R17" s="1"/>
      <c r="S17" s="1"/>
      <c r="T17" s="1"/>
    </row>
    <row r="18" spans="1:14" ht="26.25" customHeight="1" thickBot="1">
      <c r="A18" s="139" t="s">
        <v>303</v>
      </c>
      <c r="B18" s="140"/>
      <c r="C18" s="141"/>
      <c r="D18" s="142">
        <f>E18*F5</f>
        <v>3610.3774382659344</v>
      </c>
      <c r="E18" s="143">
        <f>SUM(E13:E17)</f>
        <v>0.5058676528325535</v>
      </c>
      <c r="F18" s="144"/>
      <c r="G18" s="145"/>
      <c r="H18" s="146"/>
      <c r="I18" s="146"/>
      <c r="J18" s="147">
        <f>K18*H5</f>
        <v>6735.619482873284</v>
      </c>
      <c r="K18" s="148">
        <f>SUM(K13:K17)</f>
        <v>0.8890498512279619</v>
      </c>
      <c r="L18" s="28"/>
      <c r="M18" s="1"/>
      <c r="N18" s="1"/>
    </row>
    <row r="19" spans="1:14" ht="39" customHeight="1" thickTop="1">
      <c r="A19" s="776" t="s">
        <v>304</v>
      </c>
      <c r="B19" s="777"/>
      <c r="C19" s="777"/>
      <c r="D19" s="777"/>
      <c r="E19" s="778"/>
      <c r="F19" s="15"/>
      <c r="G19" s="779" t="s">
        <v>305</v>
      </c>
      <c r="H19" s="780"/>
      <c r="I19" s="780"/>
      <c r="J19" s="780"/>
      <c r="K19" s="781"/>
      <c r="L19" s="15"/>
      <c r="M19" s="1"/>
      <c r="N19" s="1"/>
    </row>
    <row r="20" spans="1:14" ht="39" customHeight="1">
      <c r="A20" s="149" t="s">
        <v>114</v>
      </c>
      <c r="B20" s="150" t="s">
        <v>115</v>
      </c>
      <c r="C20" s="150" t="s">
        <v>116</v>
      </c>
      <c r="D20" s="150" t="s">
        <v>306</v>
      </c>
      <c r="E20" s="151" t="s">
        <v>307</v>
      </c>
      <c r="F20" s="2"/>
      <c r="G20" s="152" t="s">
        <v>119</v>
      </c>
      <c r="H20" s="153" t="s">
        <v>120</v>
      </c>
      <c r="I20" s="153" t="s">
        <v>116</v>
      </c>
      <c r="J20" s="153" t="s">
        <v>306</v>
      </c>
      <c r="K20" s="154" t="s">
        <v>307</v>
      </c>
      <c r="L20" s="1"/>
      <c r="M20" s="1"/>
      <c r="N20" s="1"/>
    </row>
    <row r="21" spans="1:42" ht="59.25" customHeight="1">
      <c r="A21" s="149" t="s">
        <v>435</v>
      </c>
      <c r="B21" s="155">
        <f>C21*$N$4</f>
        <v>16.526241071258603</v>
      </c>
      <c r="C21" s="156">
        <f>C14</f>
        <v>0.3516221504523107</v>
      </c>
      <c r="D21" s="155">
        <f>E21*$N$5</f>
        <v>630.5793858752111</v>
      </c>
      <c r="E21" s="157">
        <f>C21*(1-E23-E25)</f>
        <v>0.3296457660490413</v>
      </c>
      <c r="F21" s="130"/>
      <c r="G21" s="152" t="s">
        <v>344</v>
      </c>
      <c r="H21" s="158">
        <f>$P$4*I21</f>
        <v>44.70590687404817</v>
      </c>
      <c r="I21" s="159">
        <f>I14</f>
        <v>0.6877831826776641</v>
      </c>
      <c r="J21" s="160">
        <f>K21*$P$5</f>
        <v>1596.6379345764751</v>
      </c>
      <c r="K21" s="161">
        <f>I21*(1-K23-K25)</f>
        <v>0.6035297427996504</v>
      </c>
      <c r="L21" s="162"/>
      <c r="M21" s="1"/>
      <c r="N21" s="1"/>
      <c r="AP21">
        <v>1</v>
      </c>
    </row>
    <row r="22" spans="1:14" ht="39" customHeight="1">
      <c r="A22" s="149" t="s">
        <v>350</v>
      </c>
      <c r="B22" s="155">
        <f>C22*$N$4</f>
        <v>10.43860592345058</v>
      </c>
      <c r="C22" s="156">
        <f>C15</f>
        <v>0.22209799837128893</v>
      </c>
      <c r="D22" s="155">
        <f>E22*$N$5</f>
        <v>258.2476378495802</v>
      </c>
      <c r="E22" s="157">
        <f>C22*(1-E23-E25-E21)</f>
        <v>0.13500320866202112</v>
      </c>
      <c r="F22" s="130"/>
      <c r="G22" s="152" t="s">
        <v>436</v>
      </c>
      <c r="H22" s="158">
        <f>$P$4*I22</f>
        <v>37.20581722391296</v>
      </c>
      <c r="I22" s="159">
        <f>I15</f>
        <v>0.5723971880601993</v>
      </c>
      <c r="J22" s="160">
        <f>K22*$P$5</f>
        <v>414.86679368731467</v>
      </c>
      <c r="K22" s="161">
        <f>I22*(1-K23-K25-K21)</f>
        <v>0.15681980483360977</v>
      </c>
      <c r="L22" s="135"/>
      <c r="M22" s="1"/>
      <c r="N22" s="1"/>
    </row>
    <row r="23" spans="1:14" ht="39" customHeight="1">
      <c r="A23" s="149" t="s">
        <v>341</v>
      </c>
      <c r="B23" s="155">
        <f>C23*$N$4</f>
        <v>-11.75</v>
      </c>
      <c r="C23" s="156">
        <v>-0.25</v>
      </c>
      <c r="D23" s="155">
        <f>E23*$N$5</f>
        <v>-478.225</v>
      </c>
      <c r="E23" s="157">
        <f>C23</f>
        <v>-0.25</v>
      </c>
      <c r="F23" s="136"/>
      <c r="G23" s="152" t="s">
        <v>341</v>
      </c>
      <c r="H23" s="158">
        <f>$P$4*I23</f>
        <v>-22.75</v>
      </c>
      <c r="I23" s="159">
        <v>-0.35</v>
      </c>
      <c r="J23" s="160">
        <f>K23*$P$5</f>
        <v>-925.925</v>
      </c>
      <c r="K23" s="161">
        <f>I23</f>
        <v>-0.35</v>
      </c>
      <c r="L23" s="135"/>
      <c r="M23" s="1"/>
      <c r="N23" s="1"/>
    </row>
    <row r="24" spans="1:14" ht="39" customHeight="1">
      <c r="A24" s="149" t="s">
        <v>352</v>
      </c>
      <c r="B24" s="155">
        <f>C24*$N$4</f>
        <v>0</v>
      </c>
      <c r="C24" s="156">
        <f>H33</f>
        <v>0</v>
      </c>
      <c r="D24" s="155">
        <f>E24*N5</f>
        <v>0</v>
      </c>
      <c r="E24" s="157">
        <f>C24*(1-E23-E25-E21)</f>
        <v>0</v>
      </c>
      <c r="F24" s="136"/>
      <c r="G24" s="152" t="s">
        <v>352</v>
      </c>
      <c r="H24" s="158">
        <f>$P$4*I24</f>
        <v>0</v>
      </c>
      <c r="I24" s="159">
        <f>H34</f>
        <v>0</v>
      </c>
      <c r="J24" s="160">
        <f>K24*$P$5</f>
        <v>0</v>
      </c>
      <c r="K24" s="161">
        <f>I24*(1-K23-K25-K21)</f>
        <v>0</v>
      </c>
      <c r="L24" s="137"/>
      <c r="M24" s="1"/>
      <c r="N24" s="1"/>
    </row>
    <row r="25" spans="1:14" ht="39" customHeight="1">
      <c r="A25" s="149" t="s">
        <v>353</v>
      </c>
      <c r="B25" s="155">
        <f>E25*N4</f>
        <v>14.6875</v>
      </c>
      <c r="C25" s="156">
        <v>0.25</v>
      </c>
      <c r="D25" s="155">
        <f>E25*$N$5</f>
        <v>597.78125</v>
      </c>
      <c r="E25" s="157">
        <f>C25*(1-E23)</f>
        <v>0.3125</v>
      </c>
      <c r="F25" s="136"/>
      <c r="G25" s="152" t="s">
        <v>353</v>
      </c>
      <c r="H25" s="158">
        <f>$P$4*K25</f>
        <v>30.7125</v>
      </c>
      <c r="I25" s="159">
        <v>0.35</v>
      </c>
      <c r="J25" s="160">
        <f>K25*$P$5</f>
        <v>1249.99875</v>
      </c>
      <c r="K25" s="161">
        <f>I25*(1-K23)</f>
        <v>0.4725</v>
      </c>
      <c r="L25" s="137"/>
      <c r="M25" s="1"/>
      <c r="N25" s="1"/>
    </row>
    <row r="26" spans="1:11" ht="39" customHeight="1" thickBot="1">
      <c r="A26" s="163" t="s">
        <v>303</v>
      </c>
      <c r="B26" s="164"/>
      <c r="C26" s="165"/>
      <c r="D26" s="166">
        <f>E26*N5</f>
        <v>1008.3832737247913</v>
      </c>
      <c r="E26" s="167">
        <f>SUM(E21:E25)</f>
        <v>0.5271489747110624</v>
      </c>
      <c r="F26" s="168"/>
      <c r="G26" s="169"/>
      <c r="H26" s="170"/>
      <c r="I26" s="171"/>
      <c r="J26" s="172">
        <f>K26*P5</f>
        <v>2335.57847826379</v>
      </c>
      <c r="K26" s="450">
        <f>SUM(K21:K25)</f>
        <v>0.8828495476332603</v>
      </c>
    </row>
    <row r="27" spans="1:11" ht="22.5" customHeight="1" thickTop="1">
      <c r="A27" s="2"/>
      <c r="B27" s="174"/>
      <c r="C27" s="136"/>
      <c r="D27" s="16"/>
      <c r="E27" s="14"/>
      <c r="F27" s="13"/>
      <c r="G27" s="136"/>
      <c r="H27" s="2"/>
      <c r="I27" s="174"/>
      <c r="J27" s="136"/>
      <c r="K27" s="14"/>
    </row>
    <row r="28" spans="1:11" ht="36" customHeight="1">
      <c r="A28" s="59"/>
      <c r="B28" s="175">
        <v>2020</v>
      </c>
      <c r="C28" s="176"/>
      <c r="D28" s="177"/>
      <c r="E28" s="178"/>
      <c r="F28" s="179"/>
      <c r="G28" s="180">
        <v>2030</v>
      </c>
      <c r="H28" s="180"/>
      <c r="I28" s="181"/>
      <c r="J28" s="180"/>
      <c r="K28" s="182"/>
    </row>
    <row r="29" spans="1:10" ht="57" customHeight="1">
      <c r="A29" s="175" t="s">
        <v>313</v>
      </c>
      <c r="B29" s="183">
        <f>D26+D18</f>
        <v>4618.760711990726</v>
      </c>
      <c r="C29" s="177" t="s">
        <v>314</v>
      </c>
      <c r="D29" s="184">
        <f>B29/(F5+N5+W5)</f>
        <v>0.47631865192378087</v>
      </c>
      <c r="E29" s="185" t="s">
        <v>315</v>
      </c>
      <c r="F29" s="186"/>
      <c r="G29" s="187">
        <f>J26+J18</f>
        <v>9071.197961137073</v>
      </c>
      <c r="H29" s="188" t="s">
        <v>314</v>
      </c>
      <c r="I29" s="189">
        <f>G29/(H5+P5+Y5)</f>
        <v>0.8114316094230241</v>
      </c>
      <c r="J29" s="181" t="s">
        <v>315</v>
      </c>
    </row>
    <row r="30" spans="1:10" ht="50.25" customHeight="1" thickBot="1">
      <c r="A30" s="190" t="s">
        <v>132</v>
      </c>
      <c r="B30" s="191">
        <f>(D13/(F36))+(D15*B36)+(D22*D36)+(0.27*D25)+(D17/P35)+(D24/P36)</f>
        <v>434.3022634114052</v>
      </c>
      <c r="C30" s="177" t="s">
        <v>314</v>
      </c>
      <c r="D30" s="192">
        <f>B30/$R$35</f>
        <v>0.13512827112987094</v>
      </c>
      <c r="E30" s="193" t="s">
        <v>133</v>
      </c>
      <c r="F30" s="186"/>
      <c r="G30" s="58">
        <f>(J13/(F36))+(J15*B36)+(J22*D36)+(0.27*J25)+(J17/P35)+(J24/P36)</f>
        <v>775.4647636991491</v>
      </c>
      <c r="H30" s="188" t="s">
        <v>314</v>
      </c>
      <c r="I30" s="189">
        <f>G30/$R$35</f>
        <v>0.2412771511198348</v>
      </c>
      <c r="J30" s="569" t="s">
        <v>133</v>
      </c>
    </row>
    <row r="31" spans="1:16" ht="55.5" customHeight="1" thickBot="1">
      <c r="A31" s="194"/>
      <c r="B31" s="195"/>
      <c r="C31" s="15"/>
      <c r="D31" s="196"/>
      <c r="E31" s="100"/>
      <c r="F31" s="15"/>
      <c r="G31" s="1"/>
      <c r="H31" s="1"/>
      <c r="I31" s="41"/>
      <c r="J31" s="573" t="s">
        <v>427</v>
      </c>
      <c r="K31" s="574">
        <v>15</v>
      </c>
      <c r="L31" s="505" t="s">
        <v>312</v>
      </c>
      <c r="N31" s="346" t="s">
        <v>308</v>
      </c>
      <c r="O31" s="347" t="s">
        <v>309</v>
      </c>
      <c r="P31" s="348" t="s">
        <v>310</v>
      </c>
    </row>
    <row r="32" spans="1:16" ht="39" customHeight="1" thickBot="1">
      <c r="A32" s="197" t="s">
        <v>136</v>
      </c>
      <c r="B32" s="722">
        <f>calculation!Q26</f>
        <v>30.044376113332557</v>
      </c>
      <c r="C32" s="126" t="s">
        <v>137</v>
      </c>
      <c r="D32" s="723">
        <v>0</v>
      </c>
      <c r="E32" s="727" t="s">
        <v>354</v>
      </c>
      <c r="F32" s="15"/>
      <c r="I32" s="1"/>
      <c r="J32" s="570" t="s">
        <v>311</v>
      </c>
      <c r="K32" s="571">
        <v>15</v>
      </c>
      <c r="L32" s="572" t="s">
        <v>312</v>
      </c>
      <c r="N32" s="349">
        <v>2007</v>
      </c>
      <c r="O32" s="350">
        <f>'Energy Accounting'!B47</f>
        <v>400335</v>
      </c>
      <c r="P32" s="351">
        <f>(O33-O32)/(N33-N32)</f>
        <v>4333.260869565217</v>
      </c>
    </row>
    <row r="33" spans="1:16" ht="39" thickBot="1">
      <c r="A33" s="126" t="s">
        <v>138</v>
      </c>
      <c r="B33" s="722">
        <f>calculation!Q13</f>
        <v>40.60864425130059</v>
      </c>
      <c r="C33" s="126" t="s">
        <v>139</v>
      </c>
      <c r="D33" s="724">
        <f>calculation!AP13+E33*calculation!AR13</f>
        <v>0.22209799837128893</v>
      </c>
      <c r="E33" s="728">
        <v>0.6</v>
      </c>
      <c r="F33" s="730"/>
      <c r="I33" s="1"/>
      <c r="J33" s="1"/>
      <c r="K33" s="1"/>
      <c r="L33" s="1"/>
      <c r="N33" s="352">
        <v>2030</v>
      </c>
      <c r="O33" s="353">
        <f>500000</f>
        <v>500000</v>
      </c>
      <c r="P33" s="354"/>
    </row>
    <row r="34" spans="1:16" ht="39" thickBot="1">
      <c r="A34" s="198" t="s">
        <v>141</v>
      </c>
      <c r="B34" s="722">
        <f>calculation!Q3</f>
        <v>50.70839273812521</v>
      </c>
      <c r="C34" s="126" t="s">
        <v>142</v>
      </c>
      <c r="D34" s="725">
        <f>calculation!AP3+E34*calculation!AR3</f>
        <v>0.5723971880601993</v>
      </c>
      <c r="E34" s="729">
        <v>0.8</v>
      </c>
      <c r="N34" s="1"/>
      <c r="O34" s="1"/>
      <c r="P34" s="1"/>
    </row>
    <row r="35" spans="1:20" ht="76.5">
      <c r="A35" s="199" t="s">
        <v>144</v>
      </c>
      <c r="B35" s="200">
        <v>0.3</v>
      </c>
      <c r="C35" s="732" t="s">
        <v>438</v>
      </c>
      <c r="D35" s="201">
        <v>0.8</v>
      </c>
      <c r="E35" s="726" t="s">
        <v>145</v>
      </c>
      <c r="F35" s="201">
        <v>0.92</v>
      </c>
      <c r="G35" s="199" t="s">
        <v>346</v>
      </c>
      <c r="H35" s="202">
        <v>0.35</v>
      </c>
      <c r="I35" s="199" t="s">
        <v>347</v>
      </c>
      <c r="J35" s="202">
        <v>0.5</v>
      </c>
      <c r="K35" s="199" t="s">
        <v>348</v>
      </c>
      <c r="L35" s="203">
        <v>0.9</v>
      </c>
      <c r="M35" s="199" t="s">
        <v>349</v>
      </c>
      <c r="N35" s="204">
        <v>0.1138</v>
      </c>
      <c r="O35" s="199" t="s">
        <v>161</v>
      </c>
      <c r="P35" s="205">
        <f>(H35*J35*L35*F35)/(N35)</f>
        <v>1.273286467486819</v>
      </c>
      <c r="Q35" s="199" t="s">
        <v>162</v>
      </c>
      <c r="R35" s="206">
        <v>3214</v>
      </c>
      <c r="S35" s="199" t="s">
        <v>163</v>
      </c>
      <c r="T35" s="207">
        <v>0.86</v>
      </c>
    </row>
    <row r="36" spans="1:20" ht="68.25" customHeight="1">
      <c r="A36" s="208" t="s">
        <v>165</v>
      </c>
      <c r="B36" s="209">
        <f>(N35)/(F35*T35*L35)</f>
        <v>0.15981350410066283</v>
      </c>
      <c r="C36" s="208" t="s">
        <v>356</v>
      </c>
      <c r="D36" s="201">
        <f>B36*(1+B35)</f>
        <v>0.20775755533086168</v>
      </c>
      <c r="E36" s="208" t="s">
        <v>357</v>
      </c>
      <c r="F36" s="201">
        <v>1.3</v>
      </c>
      <c r="G36" s="208" t="s">
        <v>358</v>
      </c>
      <c r="H36" s="201">
        <v>0.2</v>
      </c>
      <c r="I36" s="208" t="s">
        <v>166</v>
      </c>
      <c r="J36" s="201">
        <v>0</v>
      </c>
      <c r="K36" s="208" t="s">
        <v>167</v>
      </c>
      <c r="L36" s="210">
        <v>0.5</v>
      </c>
      <c r="M36" s="208" t="s">
        <v>168</v>
      </c>
      <c r="N36" s="210">
        <f>B36/L36</f>
        <v>0.31962700820132567</v>
      </c>
      <c r="O36" s="199" t="s">
        <v>169</v>
      </c>
      <c r="P36" s="211">
        <f>P35/(1+B35)</f>
        <v>0.9794511288360146</v>
      </c>
      <c r="Q36" s="212"/>
      <c r="R36" s="212"/>
      <c r="S36" s="212"/>
      <c r="T36" s="212"/>
    </row>
    <row r="37" spans="13:14" ht="63.75">
      <c r="M37" s="208" t="s">
        <v>170</v>
      </c>
      <c r="N37" s="210">
        <f>D36/L36</f>
        <v>0.41551511066172336</v>
      </c>
    </row>
    <row r="40" spans="1:2" ht="12.75">
      <c r="A40" s="1"/>
      <c r="B40" s="1"/>
    </row>
    <row r="41" spans="1:2" ht="12.75">
      <c r="A41" s="1"/>
      <c r="B41" s="1"/>
    </row>
    <row r="44" ht="18">
      <c r="A44" s="731" t="s">
        <v>437</v>
      </c>
    </row>
    <row r="45" spans="1:27" ht="12.75">
      <c r="A45" s="364" t="s">
        <v>308</v>
      </c>
      <c r="B45" s="356">
        <v>2007</v>
      </c>
      <c r="C45" s="356">
        <f aca="true" t="shared" si="6" ref="C45:AA45">B45+1</f>
        <v>2008</v>
      </c>
      <c r="D45" s="356">
        <f t="shared" si="6"/>
        <v>2009</v>
      </c>
      <c r="E45" s="356">
        <f t="shared" si="6"/>
        <v>2010</v>
      </c>
      <c r="F45" s="356">
        <f t="shared" si="6"/>
        <v>2011</v>
      </c>
      <c r="G45" s="356">
        <f t="shared" si="6"/>
        <v>2012</v>
      </c>
      <c r="H45" s="356">
        <f t="shared" si="6"/>
        <v>2013</v>
      </c>
      <c r="I45" s="356">
        <f t="shared" si="6"/>
        <v>2014</v>
      </c>
      <c r="J45" s="356">
        <f t="shared" si="6"/>
        <v>2015</v>
      </c>
      <c r="K45" s="356">
        <f t="shared" si="6"/>
        <v>2016</v>
      </c>
      <c r="L45" s="356">
        <f t="shared" si="6"/>
        <v>2017</v>
      </c>
      <c r="M45" s="356">
        <f t="shared" si="6"/>
        <v>2018</v>
      </c>
      <c r="N45" s="356">
        <f t="shared" si="6"/>
        <v>2019</v>
      </c>
      <c r="O45" s="357">
        <f t="shared" si="6"/>
        <v>2020</v>
      </c>
      <c r="P45" s="356">
        <f t="shared" si="6"/>
        <v>2021</v>
      </c>
      <c r="Q45" s="356">
        <f t="shared" si="6"/>
        <v>2022</v>
      </c>
      <c r="R45" s="356">
        <f t="shared" si="6"/>
        <v>2023</v>
      </c>
      <c r="S45" s="356">
        <f t="shared" si="6"/>
        <v>2024</v>
      </c>
      <c r="T45" s="356">
        <f t="shared" si="6"/>
        <v>2025</v>
      </c>
      <c r="U45" s="356">
        <f t="shared" si="6"/>
        <v>2026</v>
      </c>
      <c r="V45" s="356">
        <f t="shared" si="6"/>
        <v>2027</v>
      </c>
      <c r="W45" s="356">
        <f t="shared" si="6"/>
        <v>2028</v>
      </c>
      <c r="X45" s="356">
        <f t="shared" si="6"/>
        <v>2029</v>
      </c>
      <c r="Y45" s="357">
        <f t="shared" si="6"/>
        <v>2030</v>
      </c>
      <c r="Z45" s="356">
        <f t="shared" si="6"/>
        <v>2031</v>
      </c>
      <c r="AA45" s="356">
        <f t="shared" si="6"/>
        <v>2032</v>
      </c>
    </row>
    <row r="46" spans="1:27" ht="12.75">
      <c r="A46" s="364" t="s">
        <v>309</v>
      </c>
      <c r="B46" s="356">
        <f aca="true" t="shared" si="7" ref="B46:AA46">$O$32+($P$32*(B45-$N$32))</f>
        <v>400335</v>
      </c>
      <c r="C46" s="356">
        <f t="shared" si="7"/>
        <v>404668.26086956525</v>
      </c>
      <c r="D46" s="356">
        <f t="shared" si="7"/>
        <v>409001.52173913043</v>
      </c>
      <c r="E46" s="356">
        <f t="shared" si="7"/>
        <v>413334.7826086957</v>
      </c>
      <c r="F46" s="356">
        <f t="shared" si="7"/>
        <v>417668.04347826086</v>
      </c>
      <c r="G46" s="356">
        <f t="shared" si="7"/>
        <v>422001.3043478261</v>
      </c>
      <c r="H46" s="356">
        <f t="shared" si="7"/>
        <v>426334.5652173913</v>
      </c>
      <c r="I46" s="356">
        <f t="shared" si="7"/>
        <v>430667.82608695654</v>
      </c>
      <c r="J46" s="356">
        <f t="shared" si="7"/>
        <v>435001.0869565217</v>
      </c>
      <c r="K46" s="356">
        <f t="shared" si="7"/>
        <v>439334.347826087</v>
      </c>
      <c r="L46" s="356">
        <f t="shared" si="7"/>
        <v>443667.60869565216</v>
      </c>
      <c r="M46" s="356">
        <f t="shared" si="7"/>
        <v>448000.8695652174</v>
      </c>
      <c r="N46" s="356">
        <f t="shared" si="7"/>
        <v>452334.1304347826</v>
      </c>
      <c r="O46" s="357">
        <f t="shared" si="7"/>
        <v>456667.39130434784</v>
      </c>
      <c r="P46" s="356">
        <f t="shared" si="7"/>
        <v>461000.652173913</v>
      </c>
      <c r="Q46" s="356">
        <f t="shared" si="7"/>
        <v>465333.9130434783</v>
      </c>
      <c r="R46" s="356">
        <f t="shared" si="7"/>
        <v>469667.17391304346</v>
      </c>
      <c r="S46" s="356">
        <f t="shared" si="7"/>
        <v>474000.4347826087</v>
      </c>
      <c r="T46" s="356">
        <f t="shared" si="7"/>
        <v>478333.6956521739</v>
      </c>
      <c r="U46" s="356">
        <f t="shared" si="7"/>
        <v>482666.95652173914</v>
      </c>
      <c r="V46" s="356">
        <f t="shared" si="7"/>
        <v>487000.2173913043</v>
      </c>
      <c r="W46" s="356">
        <f t="shared" si="7"/>
        <v>491333.47826086957</v>
      </c>
      <c r="X46" s="356">
        <f t="shared" si="7"/>
        <v>495666.73913043475</v>
      </c>
      <c r="Y46" s="357">
        <f t="shared" si="7"/>
        <v>500000</v>
      </c>
      <c r="Z46" s="356">
        <f t="shared" si="7"/>
        <v>504333.2608695652</v>
      </c>
      <c r="AA46" s="356">
        <f t="shared" si="7"/>
        <v>508666.52173913043</v>
      </c>
    </row>
    <row r="47" spans="1:27" ht="12.75">
      <c r="A47" s="364" t="s">
        <v>316</v>
      </c>
      <c r="B47" s="359">
        <f>0.01*calculation!$U26</f>
        <v>20403.768511436083</v>
      </c>
      <c r="C47" s="359">
        <f>0.01*calculation!$U25</f>
        <v>20356.731778704918</v>
      </c>
      <c r="D47" s="359">
        <f>0.01*calculation!$U24</f>
        <v>20656.266806066615</v>
      </c>
      <c r="E47" s="359">
        <f>0.01*calculation!$U23</f>
        <v>20960.209281224543</v>
      </c>
      <c r="F47" s="359">
        <f>0.01*calculation!$U22</f>
        <v>21181.953920272146</v>
      </c>
      <c r="G47" s="359">
        <f>0.01*calculation!$U21</f>
        <v>21406.044465521652</v>
      </c>
      <c r="H47" s="359">
        <f>0.01*calculation!$U20</f>
        <v>21632.505735051815</v>
      </c>
      <c r="I47" s="359">
        <f>0.01*calculation!$U19</f>
        <v>21861.36280949958</v>
      </c>
      <c r="J47" s="359">
        <f>0.01*calculation!$U18</f>
        <v>22092.64103483789</v>
      </c>
      <c r="K47" s="359">
        <f>0.01*calculation!$U17</f>
        <v>22326.366025182648</v>
      </c>
      <c r="L47" s="359">
        <f>0.01*calculation!$U16</f>
        <v>22562.563665629557</v>
      </c>
      <c r="M47" s="359">
        <f>0.01*calculation!$U15</f>
        <v>22801.26011512088</v>
      </c>
      <c r="N47" s="359">
        <f>0.01*calculation!$U14</f>
        <v>23042.481809342557</v>
      </c>
      <c r="O47" s="359">
        <f>0.01*calculation!$U13</f>
        <v>23226.982961189962</v>
      </c>
      <c r="P47" s="359">
        <f>0.01*calculation!$U12</f>
        <v>24649.189318948567</v>
      </c>
      <c r="Q47" s="359">
        <f>0.01*calculation!$U11</f>
        <v>25005.867459125864</v>
      </c>
      <c r="R47" s="359">
        <f>0.01*calculation!$U10</f>
        <v>25362.545599303154</v>
      </c>
      <c r="S47" s="359">
        <f>0.01*calculation!$U9</f>
        <v>25719.22373948046</v>
      </c>
      <c r="T47" s="359">
        <f>0.01*calculation!$U8</f>
        <v>26075.901879657744</v>
      </c>
      <c r="U47" s="359">
        <f>0.01*calculation!$U7</f>
        <v>26432.580019835048</v>
      </c>
      <c r="V47" s="359">
        <f>0.01*calculation!$U6</f>
        <v>26789.258160012345</v>
      </c>
      <c r="W47" s="359">
        <f>0.01*calculation!$U5</f>
        <v>27145.936300189787</v>
      </c>
      <c r="X47" s="359">
        <f>0.01*calculation!$U4</f>
        <v>27502.614440367084</v>
      </c>
      <c r="Y47" s="359">
        <f>0.01*calculation!$U3</f>
        <v>27859.29258054438</v>
      </c>
      <c r="Z47" s="356">
        <f>Z46/15</f>
        <v>33622.217391304344</v>
      </c>
      <c r="AA47" s="356">
        <f>AA46/15</f>
        <v>33911.10144927536</v>
      </c>
    </row>
    <row r="48" spans="1:27" ht="12.75">
      <c r="A48" s="364" t="s">
        <v>134</v>
      </c>
      <c r="B48" s="358">
        <f>calculation!$B344</f>
        <v>0</v>
      </c>
      <c r="C48" s="358">
        <f>calculation!$B343</f>
        <v>0</v>
      </c>
      <c r="D48" s="358">
        <f>calculation!$B342</f>
        <v>0.004166666666666667</v>
      </c>
      <c r="E48" s="358">
        <f>calculation!$B341</f>
        <v>0.008333333333333333</v>
      </c>
      <c r="F48" s="358">
        <f>calculation!$B340</f>
        <v>0.0125</v>
      </c>
      <c r="G48" s="358">
        <f>calculation!$B339</f>
        <v>0.016666666666666666</v>
      </c>
      <c r="H48" s="358">
        <f>calculation!$B338</f>
        <v>0.020833333333333332</v>
      </c>
      <c r="I48" s="358">
        <f>calculation!$B337</f>
        <v>0.024999999999999998</v>
      </c>
      <c r="J48" s="358">
        <f>calculation!$B336</f>
        <v>0.029166666666666664</v>
      </c>
      <c r="K48" s="358">
        <f>calculation!$B335</f>
        <v>0.03333333333333333</v>
      </c>
      <c r="L48" s="358">
        <f>calculation!$B334</f>
        <v>0.0375</v>
      </c>
      <c r="M48" s="358">
        <f>calculation!$B333</f>
        <v>0.041666666666666664</v>
      </c>
      <c r="N48" s="358">
        <f>calculation!$B332</f>
        <v>0.04583333333333333</v>
      </c>
      <c r="O48" s="358">
        <f>calculation!$B331</f>
        <v>0.05</v>
      </c>
      <c r="P48" s="358">
        <f>calculation!$B330</f>
        <v>0.05</v>
      </c>
      <c r="Q48" s="358">
        <f>calculation!$B329</f>
        <v>0.05</v>
      </c>
      <c r="R48" s="358">
        <f>calculation!$B328</f>
        <v>0.05</v>
      </c>
      <c r="S48" s="358">
        <f>calculation!$B327</f>
        <v>0.05</v>
      </c>
      <c r="T48" s="358">
        <f>calculation!$B326</f>
        <v>0.05</v>
      </c>
      <c r="U48" s="358">
        <f>calculation!$B325</f>
        <v>0.05</v>
      </c>
      <c r="V48" s="358">
        <f>calculation!$B324</f>
        <v>0.05</v>
      </c>
      <c r="W48" s="358">
        <f>calculation!$B323</f>
        <v>0.05</v>
      </c>
      <c r="X48" s="358">
        <f>calculation!$B322</f>
        <v>0.05</v>
      </c>
      <c r="Y48" s="358">
        <f>calculation!$B321</f>
        <v>0.05</v>
      </c>
      <c r="Z48" s="358">
        <f>Y48</f>
        <v>0.05</v>
      </c>
      <c r="AA48" s="358">
        <f>Z48</f>
        <v>0.05</v>
      </c>
    </row>
    <row r="49" spans="1:27" ht="25.5">
      <c r="A49" s="364" t="s">
        <v>135</v>
      </c>
      <c r="B49" s="359">
        <f aca="true" t="shared" si="8" ref="B49:I49">C49+1500</f>
        <v>39500</v>
      </c>
      <c r="C49" s="359">
        <f t="shared" si="8"/>
        <v>38000</v>
      </c>
      <c r="D49" s="359">
        <f t="shared" si="8"/>
        <v>36500</v>
      </c>
      <c r="E49" s="359">
        <f t="shared" si="8"/>
        <v>35000</v>
      </c>
      <c r="F49" s="359">
        <f t="shared" si="8"/>
        <v>33500</v>
      </c>
      <c r="G49" s="359">
        <f t="shared" si="8"/>
        <v>32000</v>
      </c>
      <c r="H49" s="359">
        <f t="shared" si="8"/>
        <v>30500</v>
      </c>
      <c r="I49" s="359">
        <f t="shared" si="8"/>
        <v>29000</v>
      </c>
      <c r="J49" s="359">
        <f>K49+1500</f>
        <v>27500</v>
      </c>
      <c r="K49" s="359">
        <v>26000</v>
      </c>
      <c r="L49" s="359">
        <f aca="true" t="shared" si="9" ref="L49:AA49">K49-1500</f>
        <v>24500</v>
      </c>
      <c r="M49" s="359">
        <f t="shared" si="9"/>
        <v>23000</v>
      </c>
      <c r="N49" s="359">
        <f t="shared" si="9"/>
        <v>21500</v>
      </c>
      <c r="O49" s="360">
        <f t="shared" si="9"/>
        <v>20000</v>
      </c>
      <c r="P49" s="359">
        <f t="shared" si="9"/>
        <v>18500</v>
      </c>
      <c r="Q49" s="359">
        <f t="shared" si="9"/>
        <v>17000</v>
      </c>
      <c r="R49" s="359">
        <f t="shared" si="9"/>
        <v>15500</v>
      </c>
      <c r="S49" s="359">
        <f t="shared" si="9"/>
        <v>14000</v>
      </c>
      <c r="T49" s="359">
        <f t="shared" si="9"/>
        <v>12500</v>
      </c>
      <c r="U49" s="359">
        <f t="shared" si="9"/>
        <v>11000</v>
      </c>
      <c r="V49" s="359">
        <f t="shared" si="9"/>
        <v>9500</v>
      </c>
      <c r="W49" s="359">
        <f t="shared" si="9"/>
        <v>8000</v>
      </c>
      <c r="X49" s="359">
        <f t="shared" si="9"/>
        <v>6500</v>
      </c>
      <c r="Y49" s="360">
        <f t="shared" si="9"/>
        <v>5000</v>
      </c>
      <c r="Z49" s="359">
        <f t="shared" si="9"/>
        <v>3500</v>
      </c>
      <c r="AA49" s="359">
        <f t="shared" si="9"/>
        <v>2000</v>
      </c>
    </row>
    <row r="50" spans="1:27" ht="25.5">
      <c r="A50" s="364" t="s">
        <v>7</v>
      </c>
      <c r="B50" s="356">
        <f aca="true" t="shared" si="10" ref="B50:L50">B49*B48*B47/$K$31</f>
        <v>0</v>
      </c>
      <c r="C50" s="356">
        <f t="shared" si="10"/>
        <v>0</v>
      </c>
      <c r="D50" s="356">
        <f t="shared" si="10"/>
        <v>209431.59400595317</v>
      </c>
      <c r="E50" s="356">
        <f t="shared" si="10"/>
        <v>407559.6249126995</v>
      </c>
      <c r="F50" s="356">
        <f t="shared" si="10"/>
        <v>591329.5469409308</v>
      </c>
      <c r="G50" s="356">
        <f t="shared" si="10"/>
        <v>761103.8032185477</v>
      </c>
      <c r="H50" s="356">
        <f t="shared" si="10"/>
        <v>916376.9790542782</v>
      </c>
      <c r="I50" s="356">
        <f t="shared" si="10"/>
        <v>1056632.5357924795</v>
      </c>
      <c r="J50" s="356">
        <f t="shared" si="10"/>
        <v>1181342.6108906372</v>
      </c>
      <c r="K50" s="356">
        <f t="shared" si="10"/>
        <v>1289967.8147883306</v>
      </c>
      <c r="L50" s="356">
        <f t="shared" si="10"/>
        <v>1381957.0245198102</v>
      </c>
      <c r="M50" s="356">
        <f aca="true" t="shared" si="11" ref="M50:AA50">M49*M48*M47/$K$31</f>
        <v>1456747.1740216117</v>
      </c>
      <c r="N50" s="356">
        <f t="shared" si="11"/>
        <v>1513763.0410859762</v>
      </c>
      <c r="O50" s="356">
        <f t="shared" si="11"/>
        <v>1548465.5307459976</v>
      </c>
      <c r="P50" s="356">
        <f t="shared" si="11"/>
        <v>1520033.3413351616</v>
      </c>
      <c r="Q50" s="356">
        <f t="shared" si="11"/>
        <v>1416999.1560171323</v>
      </c>
      <c r="R50" s="356">
        <f t="shared" si="11"/>
        <v>1310398.1892973296</v>
      </c>
      <c r="S50" s="356">
        <f t="shared" si="11"/>
        <v>1200230.4411757549</v>
      </c>
      <c r="T50" s="356">
        <f t="shared" si="11"/>
        <v>1086495.911652406</v>
      </c>
      <c r="U50" s="356">
        <f t="shared" si="11"/>
        <v>969194.600727285</v>
      </c>
      <c r="V50" s="356">
        <f t="shared" si="11"/>
        <v>848326.508400391</v>
      </c>
      <c r="W50" s="356">
        <f t="shared" si="11"/>
        <v>723891.6346717277</v>
      </c>
      <c r="X50" s="356">
        <f t="shared" si="11"/>
        <v>595889.9795412868</v>
      </c>
      <c r="Y50" s="356">
        <f t="shared" si="11"/>
        <v>464321.54300907307</v>
      </c>
      <c r="Z50" s="356">
        <f t="shared" si="11"/>
        <v>392259.20289855066</v>
      </c>
      <c r="AA50" s="356">
        <f t="shared" si="11"/>
        <v>226074.00966183573</v>
      </c>
    </row>
    <row r="51" spans="1:27" ht="38.25">
      <c r="A51" s="364" t="s">
        <v>140</v>
      </c>
      <c r="B51" s="356">
        <f>B50</f>
        <v>0</v>
      </c>
      <c r="C51" s="356">
        <f aca="true" t="shared" si="12" ref="C51:M51">C50+B51*EXP(-1/$K$31)</f>
        <v>0</v>
      </c>
      <c r="D51" s="356">
        <f t="shared" si="12"/>
        <v>209431.59400595317</v>
      </c>
      <c r="E51" s="356">
        <f t="shared" si="12"/>
        <v>603484.3439915746</v>
      </c>
      <c r="F51" s="356">
        <f t="shared" si="12"/>
        <v>1155893.3661022724</v>
      </c>
      <c r="G51" s="356">
        <f t="shared" si="12"/>
        <v>1842450.1211589326</v>
      </c>
      <c r="H51" s="356">
        <f t="shared" si="12"/>
        <v>2640001.9369708104</v>
      </c>
      <c r="I51" s="356">
        <f t="shared" si="12"/>
        <v>3526372.788325673</v>
      </c>
      <c r="J51" s="356">
        <f t="shared" si="12"/>
        <v>4480288.986194726</v>
      </c>
      <c r="K51" s="356">
        <f t="shared" si="12"/>
        <v>5481309.456333722</v>
      </c>
      <c r="L51" s="356">
        <f t="shared" si="12"/>
        <v>6509760.308039866</v>
      </c>
      <c r="M51" s="356">
        <f t="shared" si="12"/>
        <v>7546673.413074483</v>
      </c>
      <c r="N51" s="356">
        <f aca="true" t="shared" si="13" ref="N51:AA51">N50+M51*EXP(-1/$K$31)</f>
        <v>8573728.732769554</v>
      </c>
      <c r="O51" s="356">
        <f t="shared" si="13"/>
        <v>9569248.648018196</v>
      </c>
      <c r="P51" s="356">
        <f t="shared" si="13"/>
        <v>10472132.293060549</v>
      </c>
      <c r="Q51" s="356">
        <f t="shared" si="13"/>
        <v>11213752.064350449</v>
      </c>
      <c r="R51" s="356">
        <f t="shared" si="13"/>
        <v>11800941.573909897</v>
      </c>
      <c r="S51" s="356">
        <f t="shared" si="13"/>
        <v>12240093.713518478</v>
      </c>
      <c r="T51" s="356">
        <f t="shared" si="13"/>
        <v>12537189.078090535</v>
      </c>
      <c r="U51" s="356">
        <f t="shared" si="13"/>
        <v>12697822.555943089</v>
      </c>
      <c r="V51" s="356">
        <f t="shared" si="13"/>
        <v>12727228.204177182</v>
      </c>
      <c r="W51" s="356">
        <f t="shared" si="13"/>
        <v>12630302.519770894</v>
      </c>
      <c r="X51" s="356">
        <f t="shared" si="13"/>
        <v>12411626.2098494</v>
      </c>
      <c r="Y51" s="356">
        <f t="shared" si="13"/>
        <v>12075484.55792469</v>
      </c>
      <c r="Z51" s="356">
        <f t="shared" si="13"/>
        <v>11688959.354478534</v>
      </c>
      <c r="AA51" s="356">
        <f t="shared" si="13"/>
        <v>11161177.133527175</v>
      </c>
    </row>
    <row r="52" spans="1:27" ht="12.75">
      <c r="A52" s="713" t="s">
        <v>224</v>
      </c>
      <c r="B52" s="714">
        <f>calculation!$B224</f>
        <v>0</v>
      </c>
      <c r="C52" s="714">
        <f>calculation!$B223</f>
        <v>0</v>
      </c>
      <c r="D52" s="714">
        <f>calculation!$B222</f>
        <v>0.008333333333333333</v>
      </c>
      <c r="E52" s="714">
        <f>calculation!$B221</f>
        <v>0.016666666666666666</v>
      </c>
      <c r="F52" s="714">
        <f>calculation!$B220</f>
        <v>0.025</v>
      </c>
      <c r="G52" s="714">
        <f>calculation!$B219</f>
        <v>0.03333333333333333</v>
      </c>
      <c r="H52" s="714">
        <f>calculation!$B218</f>
        <v>0.041666666666666664</v>
      </c>
      <c r="I52" s="714">
        <f>calculation!$B217</f>
        <v>0.049999999999999996</v>
      </c>
      <c r="J52" s="714">
        <f>calculation!$B216</f>
        <v>0.05833333333333333</v>
      </c>
      <c r="K52" s="714">
        <f>calculation!$B215</f>
        <v>0.06666666666666667</v>
      </c>
      <c r="L52" s="714">
        <f>calculation!$B214</f>
        <v>0.075</v>
      </c>
      <c r="M52" s="714">
        <f>calculation!$B213</f>
        <v>0.08333333333333333</v>
      </c>
      <c r="N52" s="714">
        <f>calculation!$B212</f>
        <v>0.09166666666666666</v>
      </c>
      <c r="O52" s="714">
        <f>calculation!$B211</f>
        <v>0.1</v>
      </c>
      <c r="P52" s="714">
        <f>calculation!$B210</f>
        <v>0.1</v>
      </c>
      <c r="Q52" s="714">
        <f>calculation!$B209</f>
        <v>0.1</v>
      </c>
      <c r="R52" s="714">
        <f>calculation!$B208</f>
        <v>0.1</v>
      </c>
      <c r="S52" s="714">
        <f>calculation!$B207</f>
        <v>0.1</v>
      </c>
      <c r="T52" s="714">
        <f>calculation!$B206</f>
        <v>0.1</v>
      </c>
      <c r="U52" s="714">
        <f>calculation!$B205</f>
        <v>0.1</v>
      </c>
      <c r="V52" s="714">
        <f>calculation!$B204</f>
        <v>0.1</v>
      </c>
      <c r="W52" s="714">
        <f>calculation!$B203</f>
        <v>0.1</v>
      </c>
      <c r="X52" s="714">
        <f>calculation!$B202</f>
        <v>0.1</v>
      </c>
      <c r="Y52" s="714">
        <f>calculation!$B201</f>
        <v>0.1</v>
      </c>
      <c r="Z52" s="715">
        <f>Y52</f>
        <v>0.1</v>
      </c>
      <c r="AA52" s="714">
        <f>Z52</f>
        <v>0.1</v>
      </c>
    </row>
    <row r="53" spans="1:27" ht="25.5">
      <c r="A53" s="713" t="s">
        <v>225</v>
      </c>
      <c r="B53" s="716">
        <f aca="true" t="shared" si="14" ref="B53:AA53">B52*B47</f>
        <v>0</v>
      </c>
      <c r="C53" s="716">
        <f t="shared" si="14"/>
        <v>0</v>
      </c>
      <c r="D53" s="716">
        <f t="shared" si="14"/>
        <v>172.1355567172218</v>
      </c>
      <c r="E53" s="716">
        <f t="shared" si="14"/>
        <v>349.3368213537424</v>
      </c>
      <c r="F53" s="716">
        <f t="shared" si="14"/>
        <v>529.5488480068037</v>
      </c>
      <c r="G53" s="716">
        <f t="shared" si="14"/>
        <v>713.5348155173884</v>
      </c>
      <c r="H53" s="716">
        <f t="shared" si="14"/>
        <v>901.3544056271589</v>
      </c>
      <c r="I53" s="716">
        <f t="shared" si="14"/>
        <v>1093.068140474979</v>
      </c>
      <c r="J53" s="716">
        <f t="shared" si="14"/>
        <v>1288.7373936988768</v>
      </c>
      <c r="K53" s="716">
        <f t="shared" si="14"/>
        <v>1488.4244016788432</v>
      </c>
      <c r="L53" s="716">
        <f t="shared" si="14"/>
        <v>1692.1922749222167</v>
      </c>
      <c r="M53" s="716">
        <f t="shared" si="14"/>
        <v>1900.1050095934065</v>
      </c>
      <c r="N53" s="716">
        <f t="shared" si="14"/>
        <v>2112.2274991897343</v>
      </c>
      <c r="O53" s="716">
        <f t="shared" si="14"/>
        <v>2322.6982961189965</v>
      </c>
      <c r="P53" s="716">
        <f t="shared" si="14"/>
        <v>2464.918931894857</v>
      </c>
      <c r="Q53" s="716">
        <f t="shared" si="14"/>
        <v>2500.5867459125866</v>
      </c>
      <c r="R53" s="716">
        <f t="shared" si="14"/>
        <v>2536.2545599303157</v>
      </c>
      <c r="S53" s="716">
        <f t="shared" si="14"/>
        <v>2571.9223739480462</v>
      </c>
      <c r="T53" s="716">
        <f t="shared" si="14"/>
        <v>2607.5901879657745</v>
      </c>
      <c r="U53" s="716">
        <f t="shared" si="14"/>
        <v>2643.258001983505</v>
      </c>
      <c r="V53" s="716">
        <f t="shared" si="14"/>
        <v>2678.9258160012346</v>
      </c>
      <c r="W53" s="716">
        <f t="shared" si="14"/>
        <v>2714.5936300189787</v>
      </c>
      <c r="X53" s="716">
        <f t="shared" si="14"/>
        <v>2750.261444036709</v>
      </c>
      <c r="Y53" s="716">
        <f t="shared" si="14"/>
        <v>2785.9292580544384</v>
      </c>
      <c r="Z53" s="716">
        <f t="shared" si="14"/>
        <v>3362.221739130435</v>
      </c>
      <c r="AA53" s="716">
        <f t="shared" si="14"/>
        <v>3391.110144927536</v>
      </c>
    </row>
    <row r="54" spans="1:27" ht="25.5">
      <c r="A54" s="713" t="s">
        <v>226</v>
      </c>
      <c r="B54" s="717">
        <v>4000</v>
      </c>
      <c r="C54" s="717">
        <v>4000</v>
      </c>
      <c r="D54" s="717">
        <v>4000</v>
      </c>
      <c r="E54" s="717">
        <v>4000</v>
      </c>
      <c r="F54" s="717">
        <v>3950</v>
      </c>
      <c r="G54" s="717">
        <v>3900</v>
      </c>
      <c r="H54" s="717">
        <v>3850</v>
      </c>
      <c r="I54" s="717">
        <v>3800</v>
      </c>
      <c r="J54" s="717">
        <v>3750</v>
      </c>
      <c r="K54" s="717">
        <v>3700</v>
      </c>
      <c r="L54" s="717">
        <v>3650</v>
      </c>
      <c r="M54" s="717">
        <v>3600</v>
      </c>
      <c r="N54" s="717">
        <v>3550</v>
      </c>
      <c r="O54" s="717">
        <v>3500</v>
      </c>
      <c r="P54" s="717">
        <v>3450</v>
      </c>
      <c r="Q54" s="717">
        <v>3400</v>
      </c>
      <c r="R54" s="717">
        <v>3350</v>
      </c>
      <c r="S54" s="717">
        <v>3300</v>
      </c>
      <c r="T54" s="717">
        <v>3250</v>
      </c>
      <c r="U54" s="717">
        <v>3200</v>
      </c>
      <c r="V54" s="717">
        <v>3150</v>
      </c>
      <c r="W54" s="717">
        <v>3100</v>
      </c>
      <c r="X54" s="717">
        <v>3050</v>
      </c>
      <c r="Y54" s="717">
        <v>3000</v>
      </c>
      <c r="Z54" s="717">
        <v>2950</v>
      </c>
      <c r="AA54" s="717">
        <v>2900</v>
      </c>
    </row>
    <row r="55" spans="1:27" ht="25.5">
      <c r="A55" s="713" t="s">
        <v>171</v>
      </c>
      <c r="B55" s="717">
        <v>10</v>
      </c>
      <c r="C55" s="717">
        <v>10</v>
      </c>
      <c r="D55" s="717">
        <v>10</v>
      </c>
      <c r="E55" s="717">
        <v>10</v>
      </c>
      <c r="F55" s="717">
        <v>10.25</v>
      </c>
      <c r="G55" s="717">
        <v>10.5</v>
      </c>
      <c r="H55" s="717">
        <v>10.75</v>
      </c>
      <c r="I55" s="717">
        <v>11</v>
      </c>
      <c r="J55" s="717">
        <v>11.25</v>
      </c>
      <c r="K55" s="717">
        <v>11.5</v>
      </c>
      <c r="L55" s="717">
        <v>11.75</v>
      </c>
      <c r="M55" s="717">
        <v>12</v>
      </c>
      <c r="N55" s="717">
        <v>12.25</v>
      </c>
      <c r="O55" s="717">
        <v>12.5</v>
      </c>
      <c r="P55" s="717">
        <v>12.75</v>
      </c>
      <c r="Q55" s="717">
        <v>13</v>
      </c>
      <c r="R55" s="717">
        <v>13.25</v>
      </c>
      <c r="S55" s="717">
        <v>13.5</v>
      </c>
      <c r="T55" s="717">
        <v>13.75</v>
      </c>
      <c r="U55" s="717">
        <v>14</v>
      </c>
      <c r="V55" s="717">
        <v>14.25</v>
      </c>
      <c r="W55" s="717">
        <v>14.5</v>
      </c>
      <c r="X55" s="717">
        <v>14.75</v>
      </c>
      <c r="Y55" s="717">
        <v>15</v>
      </c>
      <c r="Z55" s="717">
        <v>15.25</v>
      </c>
      <c r="AA55" s="717">
        <v>15.5</v>
      </c>
    </row>
    <row r="56" spans="1:27" ht="38.25">
      <c r="A56" s="713" t="s">
        <v>227</v>
      </c>
      <c r="B56" s="717">
        <f>B54/B55</f>
        <v>400</v>
      </c>
      <c r="C56" s="717">
        <f>C54/C55</f>
        <v>400</v>
      </c>
      <c r="D56" s="717">
        <f>D54/D55</f>
        <v>400</v>
      </c>
      <c r="E56" s="717">
        <f>E54/E55</f>
        <v>400</v>
      </c>
      <c r="F56" s="717">
        <f aca="true" t="shared" si="15" ref="F56:AA56">F54/F55</f>
        <v>385.3658536585366</v>
      </c>
      <c r="G56" s="717">
        <f t="shared" si="15"/>
        <v>371.42857142857144</v>
      </c>
      <c r="H56" s="717">
        <f t="shared" si="15"/>
        <v>358.13953488372096</v>
      </c>
      <c r="I56" s="717">
        <f t="shared" si="15"/>
        <v>345.45454545454544</v>
      </c>
      <c r="J56" s="717">
        <f t="shared" si="15"/>
        <v>333.3333333333333</v>
      </c>
      <c r="K56" s="717">
        <f t="shared" si="15"/>
        <v>321.7391304347826</v>
      </c>
      <c r="L56" s="717">
        <f t="shared" si="15"/>
        <v>310.63829787234044</v>
      </c>
      <c r="M56" s="717">
        <f t="shared" si="15"/>
        <v>300</v>
      </c>
      <c r="N56" s="717">
        <f t="shared" si="15"/>
        <v>289.7959183673469</v>
      </c>
      <c r="O56" s="717">
        <f t="shared" si="15"/>
        <v>280</v>
      </c>
      <c r="P56" s="717">
        <f t="shared" si="15"/>
        <v>270.5882352941176</v>
      </c>
      <c r="Q56" s="717">
        <f t="shared" si="15"/>
        <v>261.53846153846155</v>
      </c>
      <c r="R56" s="717">
        <f t="shared" si="15"/>
        <v>252.83018867924528</v>
      </c>
      <c r="S56" s="717">
        <f t="shared" si="15"/>
        <v>244.44444444444446</v>
      </c>
      <c r="T56" s="717">
        <f t="shared" si="15"/>
        <v>236.36363636363637</v>
      </c>
      <c r="U56" s="717">
        <f t="shared" si="15"/>
        <v>228.57142857142858</v>
      </c>
      <c r="V56" s="717">
        <f t="shared" si="15"/>
        <v>221.05263157894737</v>
      </c>
      <c r="W56" s="717">
        <f t="shared" si="15"/>
        <v>213.79310344827587</v>
      </c>
      <c r="X56" s="717">
        <f t="shared" si="15"/>
        <v>206.77966101694915</v>
      </c>
      <c r="Y56" s="717">
        <f t="shared" si="15"/>
        <v>200</v>
      </c>
      <c r="Z56" s="717">
        <f t="shared" si="15"/>
        <v>193.44262295081967</v>
      </c>
      <c r="AA56" s="717">
        <f t="shared" si="15"/>
        <v>187.09677419354838</v>
      </c>
    </row>
    <row r="57" spans="1:27" ht="25.5">
      <c r="A57" s="713" t="s">
        <v>6</v>
      </c>
      <c r="B57" s="717">
        <f aca="true" t="shared" si="16" ref="B57:AA57">B56*B53</f>
        <v>0</v>
      </c>
      <c r="C57" s="717">
        <f t="shared" si="16"/>
        <v>0</v>
      </c>
      <c r="D57" s="717">
        <f t="shared" si="16"/>
        <v>68854.22268688871</v>
      </c>
      <c r="E57" s="717">
        <f t="shared" si="16"/>
        <v>139734.72854149697</v>
      </c>
      <c r="F57" s="717">
        <f t="shared" si="16"/>
        <v>204070.04386603655</v>
      </c>
      <c r="G57" s="717">
        <f t="shared" si="16"/>
        <v>265027.2171921729</v>
      </c>
      <c r="H57" s="717">
        <f t="shared" si="16"/>
        <v>322810.64759670343</v>
      </c>
      <c r="I57" s="717">
        <f t="shared" si="16"/>
        <v>377605.35761862906</v>
      </c>
      <c r="J57" s="717">
        <f t="shared" si="16"/>
        <v>429579.13123295887</v>
      </c>
      <c r="K57" s="717">
        <f t="shared" si="16"/>
        <v>478884.3727140626</v>
      </c>
      <c r="L57" s="717">
        <f t="shared" si="16"/>
        <v>525659.727954561</v>
      </c>
      <c r="M57" s="717">
        <f t="shared" si="16"/>
        <v>570031.5028780219</v>
      </c>
      <c r="N57" s="717">
        <f t="shared" si="16"/>
        <v>612114.9079284536</v>
      </c>
      <c r="O57" s="717">
        <f t="shared" si="16"/>
        <v>650355.5229133191</v>
      </c>
      <c r="P57" s="717">
        <f t="shared" si="16"/>
        <v>666978.0639244907</v>
      </c>
      <c r="Q57" s="717">
        <f t="shared" si="16"/>
        <v>653999.6104694457</v>
      </c>
      <c r="R57" s="717">
        <f t="shared" si="16"/>
        <v>641241.7189257779</v>
      </c>
      <c r="S57" s="717">
        <f t="shared" si="16"/>
        <v>628692.1358539669</v>
      </c>
      <c r="T57" s="717">
        <f t="shared" si="16"/>
        <v>616339.4989737285</v>
      </c>
      <c r="U57" s="717">
        <f t="shared" si="16"/>
        <v>604173.2575962298</v>
      </c>
      <c r="V57" s="717">
        <f t="shared" si="16"/>
        <v>592183.6014318519</v>
      </c>
      <c r="W57" s="717">
        <f t="shared" si="16"/>
        <v>580361.3967626783</v>
      </c>
      <c r="X57" s="717">
        <f t="shared" si="16"/>
        <v>568698.1291058958</v>
      </c>
      <c r="Y57" s="717">
        <f t="shared" si="16"/>
        <v>557185.8516108877</v>
      </c>
      <c r="Z57" s="717">
        <f t="shared" si="16"/>
        <v>650396.9921596579</v>
      </c>
      <c r="AA57" s="717">
        <f t="shared" si="16"/>
        <v>634465.7690509583</v>
      </c>
    </row>
    <row r="58" spans="1:27" ht="12.75">
      <c r="A58" s="713"/>
      <c r="B58" s="717">
        <f>B57</f>
        <v>0</v>
      </c>
      <c r="C58" s="717">
        <f aca="true" t="shared" si="17" ref="C58:AA58">B58*EXP(-1/$K$32)+C57</f>
        <v>0</v>
      </c>
      <c r="D58" s="717">
        <f t="shared" si="17"/>
        <v>68854.22268688871</v>
      </c>
      <c r="E58" s="717">
        <f t="shared" si="17"/>
        <v>204148.33481400384</v>
      </c>
      <c r="F58" s="717">
        <f t="shared" si="17"/>
        <v>395052.23706711055</v>
      </c>
      <c r="G58" s="717">
        <f t="shared" si="17"/>
        <v>634601.3444208214</v>
      </c>
      <c r="H58" s="717">
        <f t="shared" si="17"/>
        <v>916484.6380128374</v>
      </c>
      <c r="I58" s="717">
        <f t="shared" si="17"/>
        <v>1234983.1381538121</v>
      </c>
      <c r="J58" s="717">
        <f t="shared" si="17"/>
        <v>1584914.4833721174</v>
      </c>
      <c r="K58" s="717">
        <f t="shared" si="17"/>
        <v>1961582.9425864564</v>
      </c>
      <c r="L58" s="717">
        <f t="shared" si="17"/>
        <v>2360734.272463066</v>
      </c>
      <c r="M58" s="717">
        <f t="shared" si="17"/>
        <v>2778514.9045707546</v>
      </c>
      <c r="N58" s="717">
        <f t="shared" si="17"/>
        <v>3211435.0091688535</v>
      </c>
      <c r="O58" s="717">
        <f t="shared" si="17"/>
        <v>3654675.405965859</v>
      </c>
      <c r="P58" s="717">
        <f t="shared" si="17"/>
        <v>4085952.434228815</v>
      </c>
      <c r="Q58" s="717">
        <f t="shared" si="17"/>
        <v>4476436.653197444</v>
      </c>
      <c r="R58" s="717">
        <f t="shared" si="17"/>
        <v>4828979.476043545</v>
      </c>
      <c r="S58" s="717">
        <f t="shared" si="17"/>
        <v>5146236.166267024</v>
      </c>
      <c r="T58" s="717">
        <f t="shared" si="17"/>
        <v>5430679.379138864</v>
      </c>
      <c r="U58" s="717">
        <f t="shared" si="17"/>
        <v>5684611.750247806</v>
      </c>
      <c r="V58" s="717">
        <f t="shared" si="17"/>
        <v>5910177.600981485</v>
      </c>
      <c r="W58" s="717">
        <f t="shared" si="17"/>
        <v>6109373.825258267</v>
      </c>
      <c r="X58" s="717">
        <f t="shared" si="17"/>
        <v>6284060.016804338</v>
      </c>
      <c r="Y58" s="717">
        <f t="shared" si="17"/>
        <v>6435967.891689252</v>
      </c>
      <c r="Z58" s="717">
        <f t="shared" si="17"/>
        <v>6671289.910274168</v>
      </c>
      <c r="AA58" s="717">
        <f t="shared" si="17"/>
        <v>6875504.079283397</v>
      </c>
    </row>
    <row r="59" spans="1:28" ht="25.5">
      <c r="A59" s="364" t="s">
        <v>143</v>
      </c>
      <c r="B59" s="358">
        <f>calculation!$B91</f>
        <v>0</v>
      </c>
      <c r="C59" s="358">
        <f>calculation!$B90</f>
        <v>0</v>
      </c>
      <c r="D59" s="358">
        <f>calculation!$B89</f>
        <v>0.03333333333333333</v>
      </c>
      <c r="E59" s="358">
        <f>calculation!$B88</f>
        <v>0.06666666666666667</v>
      </c>
      <c r="F59" s="358">
        <f>calculation!$B87</f>
        <v>0.10000000000000002</v>
      </c>
      <c r="G59" s="358">
        <f>calculation!$B86</f>
        <v>0.13333333333333333</v>
      </c>
      <c r="H59" s="358">
        <f>calculation!$B85</f>
        <v>0.16666666666666666</v>
      </c>
      <c r="I59" s="358">
        <f>calculation!$B84</f>
        <v>0.20000000000000004</v>
      </c>
      <c r="J59" s="358">
        <f>calculation!$B83</f>
        <v>0.23333333333333336</v>
      </c>
      <c r="K59" s="358">
        <f>calculation!$B82</f>
        <v>0.26666666666666666</v>
      </c>
      <c r="L59" s="358">
        <f>calculation!$B81</f>
        <v>0.3</v>
      </c>
      <c r="M59" s="358">
        <f>calculation!$B80</f>
        <v>0.3333333333333333</v>
      </c>
      <c r="N59" s="358">
        <f>calculation!$B79</f>
        <v>0.3666666666666667</v>
      </c>
      <c r="O59" s="358">
        <f>calculation!$B78</f>
        <v>0.4</v>
      </c>
      <c r="P59" s="358">
        <f>calculation!$B77</f>
        <v>0.43</v>
      </c>
      <c r="Q59" s="358">
        <f>calculation!$B76</f>
        <v>0.45999999999999996</v>
      </c>
      <c r="R59" s="358">
        <f>calculation!$B75</f>
        <v>0.48999999999999994</v>
      </c>
      <c r="S59" s="358">
        <f>calculation!$B74</f>
        <v>0.5199999999999999</v>
      </c>
      <c r="T59" s="358">
        <f>calculation!$B73</f>
        <v>0.5499999999999999</v>
      </c>
      <c r="U59" s="358">
        <f>calculation!$B72</f>
        <v>0.58</v>
      </c>
      <c r="V59" s="358">
        <f>calculation!$B71</f>
        <v>0.61</v>
      </c>
      <c r="W59" s="358">
        <f>calculation!$B70</f>
        <v>0.64</v>
      </c>
      <c r="X59" s="358">
        <f>calculation!$B69</f>
        <v>0.67</v>
      </c>
      <c r="Y59" s="358">
        <f>calculation!$B68</f>
        <v>0.7</v>
      </c>
      <c r="Z59" s="361">
        <f>Y59</f>
        <v>0.7</v>
      </c>
      <c r="AA59" s="358">
        <f>Z59</f>
        <v>0.7</v>
      </c>
      <c r="AB59" s="712"/>
    </row>
    <row r="60" spans="1:27" ht="25.5">
      <c r="A60" s="364" t="s">
        <v>164</v>
      </c>
      <c r="B60" s="362">
        <f aca="true" t="shared" si="18" ref="B60:AA60">B59*B47</f>
        <v>0</v>
      </c>
      <c r="C60" s="362">
        <f t="shared" si="18"/>
        <v>0</v>
      </c>
      <c r="D60" s="362">
        <f t="shared" si="18"/>
        <v>688.5422268688872</v>
      </c>
      <c r="E60" s="362">
        <f t="shared" si="18"/>
        <v>1397.3472854149695</v>
      </c>
      <c r="F60" s="362">
        <f t="shared" si="18"/>
        <v>2118.195392027215</v>
      </c>
      <c r="G60" s="362">
        <f t="shared" si="18"/>
        <v>2854.1392620695538</v>
      </c>
      <c r="H60" s="362">
        <f t="shared" si="18"/>
        <v>3605.4176225086358</v>
      </c>
      <c r="I60" s="362">
        <f t="shared" si="18"/>
        <v>4372.272561899917</v>
      </c>
      <c r="J60" s="362">
        <f t="shared" si="18"/>
        <v>5154.949574795508</v>
      </c>
      <c r="K60" s="362">
        <f t="shared" si="18"/>
        <v>5953.697606715373</v>
      </c>
      <c r="L60" s="362">
        <f t="shared" si="18"/>
        <v>6768.769099688867</v>
      </c>
      <c r="M60" s="362">
        <f t="shared" si="18"/>
        <v>7600.420038373626</v>
      </c>
      <c r="N60" s="362">
        <f t="shared" si="18"/>
        <v>8448.909996758937</v>
      </c>
      <c r="O60" s="363">
        <f t="shared" si="18"/>
        <v>9290.793184475986</v>
      </c>
      <c r="P60" s="362">
        <f t="shared" si="18"/>
        <v>10599.151407147883</v>
      </c>
      <c r="Q60" s="362">
        <f t="shared" si="18"/>
        <v>11502.699031197897</v>
      </c>
      <c r="R60" s="362">
        <f t="shared" si="18"/>
        <v>12427.647343658544</v>
      </c>
      <c r="S60" s="362">
        <f t="shared" si="18"/>
        <v>13373.996344529838</v>
      </c>
      <c r="T60" s="362">
        <f t="shared" si="18"/>
        <v>14341.746033811758</v>
      </c>
      <c r="U60" s="362">
        <f t="shared" si="18"/>
        <v>15330.896411504327</v>
      </c>
      <c r="V60" s="362">
        <f t="shared" si="18"/>
        <v>16341.44747760753</v>
      </c>
      <c r="W60" s="362">
        <f t="shared" si="18"/>
        <v>17373.399232121465</v>
      </c>
      <c r="X60" s="362">
        <f t="shared" si="18"/>
        <v>18426.751675045947</v>
      </c>
      <c r="Y60" s="363">
        <f t="shared" si="18"/>
        <v>19501.504806381065</v>
      </c>
      <c r="Z60" s="362">
        <f t="shared" si="18"/>
        <v>23535.552173913038</v>
      </c>
      <c r="AA60" s="362">
        <f t="shared" si="18"/>
        <v>23737.77101449275</v>
      </c>
    </row>
    <row r="61" spans="1:27" ht="25.5">
      <c r="A61" s="364" t="s">
        <v>365</v>
      </c>
      <c r="B61" s="356">
        <v>4000</v>
      </c>
      <c r="C61" s="356">
        <v>4000</v>
      </c>
      <c r="D61" s="356">
        <v>4000</v>
      </c>
      <c r="E61" s="356">
        <v>4000</v>
      </c>
      <c r="F61" s="356">
        <f aca="true" t="shared" si="19" ref="F61:AA61">E61-50</f>
        <v>3950</v>
      </c>
      <c r="G61" s="356">
        <f t="shared" si="19"/>
        <v>3900</v>
      </c>
      <c r="H61" s="356">
        <f t="shared" si="19"/>
        <v>3850</v>
      </c>
      <c r="I61" s="356">
        <f t="shared" si="19"/>
        <v>3800</v>
      </c>
      <c r="J61" s="356">
        <f t="shared" si="19"/>
        <v>3750</v>
      </c>
      <c r="K61" s="356">
        <f t="shared" si="19"/>
        <v>3700</v>
      </c>
      <c r="L61" s="356">
        <f t="shared" si="19"/>
        <v>3650</v>
      </c>
      <c r="M61" s="356">
        <f t="shared" si="19"/>
        <v>3600</v>
      </c>
      <c r="N61" s="356">
        <f t="shared" si="19"/>
        <v>3550</v>
      </c>
      <c r="O61" s="357">
        <f t="shared" si="19"/>
        <v>3500</v>
      </c>
      <c r="P61" s="356">
        <f t="shared" si="19"/>
        <v>3450</v>
      </c>
      <c r="Q61" s="356">
        <f t="shared" si="19"/>
        <v>3400</v>
      </c>
      <c r="R61" s="356">
        <f t="shared" si="19"/>
        <v>3350</v>
      </c>
      <c r="S61" s="356">
        <f t="shared" si="19"/>
        <v>3300</v>
      </c>
      <c r="T61" s="356">
        <f t="shared" si="19"/>
        <v>3250</v>
      </c>
      <c r="U61" s="356">
        <f t="shared" si="19"/>
        <v>3200</v>
      </c>
      <c r="V61" s="356">
        <f t="shared" si="19"/>
        <v>3150</v>
      </c>
      <c r="W61" s="356">
        <f t="shared" si="19"/>
        <v>3100</v>
      </c>
      <c r="X61" s="356">
        <f t="shared" si="19"/>
        <v>3050</v>
      </c>
      <c r="Y61" s="357">
        <f t="shared" si="19"/>
        <v>3000</v>
      </c>
      <c r="Z61" s="356">
        <f t="shared" si="19"/>
        <v>2950</v>
      </c>
      <c r="AA61" s="356">
        <f t="shared" si="19"/>
        <v>2900</v>
      </c>
    </row>
    <row r="62" spans="1:27" ht="38.25">
      <c r="A62" s="364" t="s">
        <v>171</v>
      </c>
      <c r="B62" s="356">
        <v>10</v>
      </c>
      <c r="C62" s="356">
        <v>10</v>
      </c>
      <c r="D62" s="356">
        <v>10</v>
      </c>
      <c r="E62" s="356">
        <v>10</v>
      </c>
      <c r="F62" s="356">
        <f>E62+0.25</f>
        <v>10.25</v>
      </c>
      <c r="G62" s="356">
        <f aca="true" t="shared" si="20" ref="G62:AA62">F62+0.25</f>
        <v>10.5</v>
      </c>
      <c r="H62" s="356">
        <f t="shared" si="20"/>
        <v>10.75</v>
      </c>
      <c r="I62" s="356">
        <f t="shared" si="20"/>
        <v>11</v>
      </c>
      <c r="J62" s="356">
        <f t="shared" si="20"/>
        <v>11.25</v>
      </c>
      <c r="K62" s="356">
        <f t="shared" si="20"/>
        <v>11.5</v>
      </c>
      <c r="L62" s="356">
        <f t="shared" si="20"/>
        <v>11.75</v>
      </c>
      <c r="M62" s="356">
        <f t="shared" si="20"/>
        <v>12</v>
      </c>
      <c r="N62" s="356">
        <f t="shared" si="20"/>
        <v>12.25</v>
      </c>
      <c r="O62" s="356">
        <f t="shared" si="20"/>
        <v>12.5</v>
      </c>
      <c r="P62" s="356">
        <f t="shared" si="20"/>
        <v>12.75</v>
      </c>
      <c r="Q62" s="356">
        <f t="shared" si="20"/>
        <v>13</v>
      </c>
      <c r="R62" s="356">
        <f t="shared" si="20"/>
        <v>13.25</v>
      </c>
      <c r="S62" s="356">
        <f t="shared" si="20"/>
        <v>13.5</v>
      </c>
      <c r="T62" s="356">
        <f t="shared" si="20"/>
        <v>13.75</v>
      </c>
      <c r="U62" s="356">
        <f t="shared" si="20"/>
        <v>14</v>
      </c>
      <c r="V62" s="356">
        <f t="shared" si="20"/>
        <v>14.25</v>
      </c>
      <c r="W62" s="356">
        <f t="shared" si="20"/>
        <v>14.5</v>
      </c>
      <c r="X62" s="356">
        <f t="shared" si="20"/>
        <v>14.75</v>
      </c>
      <c r="Y62" s="356">
        <f t="shared" si="20"/>
        <v>15</v>
      </c>
      <c r="Z62" s="356">
        <f t="shared" si="20"/>
        <v>15.25</v>
      </c>
      <c r="AA62" s="356">
        <f t="shared" si="20"/>
        <v>15.5</v>
      </c>
    </row>
    <row r="63" spans="1:27" ht="25.5">
      <c r="A63" s="364" t="s">
        <v>172</v>
      </c>
      <c r="B63" s="356">
        <f aca="true" t="shared" si="21" ref="B63:AA63">(B61/B62)</f>
        <v>400</v>
      </c>
      <c r="C63" s="356">
        <f t="shared" si="21"/>
        <v>400</v>
      </c>
      <c r="D63" s="356">
        <f t="shared" si="21"/>
        <v>400</v>
      </c>
      <c r="E63" s="356">
        <f t="shared" si="21"/>
        <v>400</v>
      </c>
      <c r="F63" s="356">
        <f t="shared" si="21"/>
        <v>385.3658536585366</v>
      </c>
      <c r="G63" s="356">
        <f t="shared" si="21"/>
        <v>371.42857142857144</v>
      </c>
      <c r="H63" s="356">
        <f t="shared" si="21"/>
        <v>358.13953488372096</v>
      </c>
      <c r="I63" s="356">
        <f t="shared" si="21"/>
        <v>345.45454545454544</v>
      </c>
      <c r="J63" s="356">
        <f t="shared" si="21"/>
        <v>333.3333333333333</v>
      </c>
      <c r="K63" s="356">
        <f t="shared" si="21"/>
        <v>321.7391304347826</v>
      </c>
      <c r="L63" s="356">
        <f t="shared" si="21"/>
        <v>310.63829787234044</v>
      </c>
      <c r="M63" s="356">
        <f t="shared" si="21"/>
        <v>300</v>
      </c>
      <c r="N63" s="356">
        <f t="shared" si="21"/>
        <v>289.7959183673469</v>
      </c>
      <c r="O63" s="357">
        <f t="shared" si="21"/>
        <v>280</v>
      </c>
      <c r="P63" s="356">
        <f t="shared" si="21"/>
        <v>270.5882352941176</v>
      </c>
      <c r="Q63" s="356">
        <f t="shared" si="21"/>
        <v>261.53846153846155</v>
      </c>
      <c r="R63" s="356">
        <f t="shared" si="21"/>
        <v>252.83018867924528</v>
      </c>
      <c r="S63" s="356">
        <f t="shared" si="21"/>
        <v>244.44444444444446</v>
      </c>
      <c r="T63" s="356">
        <f t="shared" si="21"/>
        <v>236.36363636363637</v>
      </c>
      <c r="U63" s="356">
        <f t="shared" si="21"/>
        <v>228.57142857142858</v>
      </c>
      <c r="V63" s="356">
        <f t="shared" si="21"/>
        <v>221.05263157894737</v>
      </c>
      <c r="W63" s="356">
        <f t="shared" si="21"/>
        <v>213.79310344827587</v>
      </c>
      <c r="X63" s="356">
        <f t="shared" si="21"/>
        <v>206.77966101694915</v>
      </c>
      <c r="Y63" s="357">
        <f t="shared" si="21"/>
        <v>200</v>
      </c>
      <c r="Z63" s="356">
        <f t="shared" si="21"/>
        <v>193.44262295081967</v>
      </c>
      <c r="AA63" s="356">
        <f t="shared" si="21"/>
        <v>187.09677419354838</v>
      </c>
    </row>
    <row r="64" spans="1:27" ht="38.25">
      <c r="A64" s="364" t="s">
        <v>6</v>
      </c>
      <c r="B64" s="356">
        <f aca="true" t="shared" si="22" ref="B64:AA64">B63*B60</f>
        <v>0</v>
      </c>
      <c r="C64" s="356">
        <f t="shared" si="22"/>
        <v>0</v>
      </c>
      <c r="D64" s="356">
        <f t="shared" si="22"/>
        <v>275416.89074755483</v>
      </c>
      <c r="E64" s="356">
        <f t="shared" si="22"/>
        <v>558938.9141659879</v>
      </c>
      <c r="F64" s="356">
        <f t="shared" si="22"/>
        <v>816280.1754641462</v>
      </c>
      <c r="G64" s="356">
        <f t="shared" si="22"/>
        <v>1060108.8687686916</v>
      </c>
      <c r="H64" s="356">
        <f t="shared" si="22"/>
        <v>1291242.5903868137</v>
      </c>
      <c r="I64" s="356">
        <f t="shared" si="22"/>
        <v>1510421.4304745165</v>
      </c>
      <c r="J64" s="356">
        <f t="shared" si="22"/>
        <v>1718316.524931836</v>
      </c>
      <c r="K64" s="356">
        <f t="shared" si="22"/>
        <v>1915537.4908562505</v>
      </c>
      <c r="L64" s="356">
        <f t="shared" si="22"/>
        <v>2102638.911818244</v>
      </c>
      <c r="M64" s="356">
        <f t="shared" si="22"/>
        <v>2280126.0115120877</v>
      </c>
      <c r="N64" s="356">
        <f t="shared" si="22"/>
        <v>2448459.6317138146</v>
      </c>
      <c r="O64" s="357">
        <f t="shared" si="22"/>
        <v>2601422.0916532762</v>
      </c>
      <c r="P64" s="356">
        <f t="shared" si="22"/>
        <v>2868005.674875309</v>
      </c>
      <c r="Q64" s="356">
        <f t="shared" si="22"/>
        <v>3008398.20815945</v>
      </c>
      <c r="R64" s="356">
        <f t="shared" si="22"/>
        <v>3142084.422736311</v>
      </c>
      <c r="S64" s="356">
        <f t="shared" si="22"/>
        <v>3269199.1064406275</v>
      </c>
      <c r="T64" s="356">
        <f t="shared" si="22"/>
        <v>3389867.2443555067</v>
      </c>
      <c r="U64" s="356">
        <f t="shared" si="22"/>
        <v>3504204.894058132</v>
      </c>
      <c r="V64" s="356">
        <f t="shared" si="22"/>
        <v>3612319.968734296</v>
      </c>
      <c r="W64" s="356">
        <f t="shared" si="22"/>
        <v>3714312.939281141</v>
      </c>
      <c r="X64" s="356">
        <f t="shared" si="22"/>
        <v>3810277.4650095007</v>
      </c>
      <c r="Y64" s="357">
        <f t="shared" si="22"/>
        <v>3900300.9612762127</v>
      </c>
      <c r="Z64" s="356">
        <f t="shared" si="22"/>
        <v>4552778.945117604</v>
      </c>
      <c r="AA64" s="356">
        <f t="shared" si="22"/>
        <v>4441260.383356708</v>
      </c>
    </row>
    <row r="65" spans="1:27" ht="26.25" thickBot="1">
      <c r="A65" s="718" t="s">
        <v>228</v>
      </c>
      <c r="B65" s="719">
        <f>B64</f>
        <v>0</v>
      </c>
      <c r="C65" s="719">
        <f aca="true" t="shared" si="23" ref="C65:H65">B65*EXP(-1/$K$32)+C64</f>
        <v>0</v>
      </c>
      <c r="D65" s="719">
        <f t="shared" si="23"/>
        <v>275416.89074755483</v>
      </c>
      <c r="E65" s="719">
        <f t="shared" si="23"/>
        <v>816593.3392560154</v>
      </c>
      <c r="F65" s="719">
        <f t="shared" si="23"/>
        <v>1580208.9482684422</v>
      </c>
      <c r="G65" s="719">
        <f t="shared" si="23"/>
        <v>2538405.3776832856</v>
      </c>
      <c r="H65" s="719">
        <f t="shared" si="23"/>
        <v>3665938.5520513495</v>
      </c>
      <c r="I65" s="719">
        <f aca="true" t="shared" si="24" ref="I65:AA65">H65*EXP(-1/$K$32)+I64</f>
        <v>4939932.5526152495</v>
      </c>
      <c r="J65" s="719">
        <f t="shared" si="24"/>
        <v>6339657.933488471</v>
      </c>
      <c r="K65" s="719">
        <f t="shared" si="24"/>
        <v>7846331.770345827</v>
      </c>
      <c r="L65" s="719">
        <f t="shared" si="24"/>
        <v>9442937.089852264</v>
      </c>
      <c r="M65" s="719">
        <f t="shared" si="24"/>
        <v>11114059.618283018</v>
      </c>
      <c r="N65" s="719">
        <f t="shared" si="24"/>
        <v>12845740.036675414</v>
      </c>
      <c r="O65" s="719">
        <f t="shared" si="24"/>
        <v>14618701.623863436</v>
      </c>
      <c r="P65" s="719">
        <f t="shared" si="24"/>
        <v>16543903.156092608</v>
      </c>
      <c r="Q65" s="719">
        <f t="shared" si="24"/>
        <v>18485335.170370713</v>
      </c>
      <c r="R65" s="719">
        <f t="shared" si="24"/>
        <v>20435244.59526874</v>
      </c>
      <c r="S65" s="719">
        <f t="shared" si="24"/>
        <v>22386513.166144148</v>
      </c>
      <c r="T65" s="719">
        <f t="shared" si="24"/>
        <v>24332606.681785636</v>
      </c>
      <c r="U65" s="719">
        <f t="shared" si="24"/>
        <v>26267528.408895608</v>
      </c>
      <c r="V65" s="719">
        <f t="shared" si="24"/>
        <v>28185776.274772592</v>
      </c>
      <c r="W65" s="719">
        <f t="shared" si="24"/>
        <v>30082303.52286935</v>
      </c>
      <c r="X65" s="719">
        <f t="shared" si="24"/>
        <v>31952482.53649502</v>
      </c>
      <c r="Y65" s="719">
        <f t="shared" si="24"/>
        <v>33792071.56326809</v>
      </c>
      <c r="Z65" s="719">
        <f t="shared" si="24"/>
        <v>36165497.931243196</v>
      </c>
      <c r="AA65" s="719">
        <f t="shared" si="24"/>
        <v>38274336.31518124</v>
      </c>
    </row>
    <row r="66" spans="1:27" ht="26.25" thickBot="1">
      <c r="A66" s="720" t="s">
        <v>0</v>
      </c>
      <c r="B66" s="721">
        <f>B51+B58+B65</f>
        <v>0</v>
      </c>
      <c r="C66" s="721">
        <f aca="true" t="shared" si="25" ref="C66:AA66">C51+C58+C65</f>
        <v>0</v>
      </c>
      <c r="D66" s="721">
        <f t="shared" si="25"/>
        <v>553702.7074403968</v>
      </c>
      <c r="E66" s="721">
        <f t="shared" si="25"/>
        <v>1624226.0180615939</v>
      </c>
      <c r="F66" s="721">
        <f t="shared" si="25"/>
        <v>3131154.551437825</v>
      </c>
      <c r="G66" s="721">
        <f t="shared" si="25"/>
        <v>5015456.843263039</v>
      </c>
      <c r="H66" s="721">
        <f t="shared" si="25"/>
        <v>7222425.127034998</v>
      </c>
      <c r="I66" s="721">
        <f t="shared" si="25"/>
        <v>9701288.479094734</v>
      </c>
      <c r="J66" s="721">
        <f t="shared" si="25"/>
        <v>12404861.403055314</v>
      </c>
      <c r="K66" s="721">
        <f t="shared" si="25"/>
        <v>15289224.169266004</v>
      </c>
      <c r="L66" s="721">
        <f t="shared" si="25"/>
        <v>18313431.670355197</v>
      </c>
      <c r="M66" s="721">
        <f t="shared" si="25"/>
        <v>21439247.935928255</v>
      </c>
      <c r="N66" s="721">
        <f t="shared" si="25"/>
        <v>24630903.77861382</v>
      </c>
      <c r="O66" s="721">
        <f t="shared" si="25"/>
        <v>27842625.67784749</v>
      </c>
      <c r="P66" s="721">
        <f t="shared" si="25"/>
        <v>31101987.88338197</v>
      </c>
      <c r="Q66" s="721">
        <f t="shared" si="25"/>
        <v>34175523.88791861</v>
      </c>
      <c r="R66" s="721">
        <f t="shared" si="25"/>
        <v>37065165.64522219</v>
      </c>
      <c r="S66" s="721">
        <f t="shared" si="25"/>
        <v>39772843.04592965</v>
      </c>
      <c r="T66" s="721">
        <f t="shared" si="25"/>
        <v>42300475.139015034</v>
      </c>
      <c r="U66" s="721">
        <f t="shared" si="25"/>
        <v>44649962.715086505</v>
      </c>
      <c r="V66" s="721">
        <f t="shared" si="25"/>
        <v>46823182.07993126</v>
      </c>
      <c r="W66" s="721">
        <f t="shared" si="25"/>
        <v>48821979.86789851</v>
      </c>
      <c r="X66" s="721">
        <f t="shared" si="25"/>
        <v>50648168.763148755</v>
      </c>
      <c r="Y66" s="721">
        <f t="shared" si="25"/>
        <v>52303524.01288203</v>
      </c>
      <c r="Z66" s="721">
        <f t="shared" si="25"/>
        <v>54525747.1959959</v>
      </c>
      <c r="AA66" s="505">
        <f t="shared" si="25"/>
        <v>56311017.52799182</v>
      </c>
    </row>
    <row r="68" ht="13.5" thickBot="1">
      <c r="A68" t="s">
        <v>173</v>
      </c>
    </row>
    <row r="69" spans="1:13" ht="39" thickBot="1">
      <c r="A69" s="22" t="s">
        <v>174</v>
      </c>
      <c r="B69" s="213">
        <f>0.52*(((1+B35)*D24)+D17)</f>
        <v>20.54799195220878</v>
      </c>
      <c r="C69" s="173" t="s">
        <v>175</v>
      </c>
      <c r="D69" s="214">
        <f>B69/Z2</f>
        <v>0.7012966536590027</v>
      </c>
      <c r="E69" s="173" t="s">
        <v>176</v>
      </c>
      <c r="F69" s="173"/>
      <c r="G69" s="173"/>
      <c r="H69" s="173"/>
      <c r="I69" s="213">
        <f>0.52*(((1+B35)*J24)+J17)</f>
        <v>88.06059818728922</v>
      </c>
      <c r="J69" s="173" t="s">
        <v>175</v>
      </c>
      <c r="K69" s="215">
        <f>I69/Z2</f>
        <v>3.0054811668016796</v>
      </c>
      <c r="L69" s="173" t="s">
        <v>176</v>
      </c>
      <c r="M69" s="23"/>
    </row>
    <row r="70" ht="12.75">
      <c r="V70" s="1"/>
    </row>
    <row r="71" ht="12.75">
      <c r="V71" s="1"/>
    </row>
    <row r="72" ht="12.75">
      <c r="V72" s="1"/>
    </row>
    <row r="73" ht="12.75">
      <c r="V73" s="1"/>
    </row>
    <row r="74" ht="12.75">
      <c r="V74" s="1"/>
    </row>
    <row r="75" ht="12.75">
      <c r="V75" s="1"/>
    </row>
    <row r="76" ht="12.75">
      <c r="V76" s="1"/>
    </row>
    <row r="77" ht="12.75">
      <c r="V77" s="1"/>
    </row>
    <row r="78" ht="12.75">
      <c r="V78" s="1"/>
    </row>
    <row r="79" ht="12.75">
      <c r="V79" s="1"/>
    </row>
    <row r="80" ht="12.75">
      <c r="V80" s="1"/>
    </row>
    <row r="81" ht="12.75">
      <c r="V81" s="1"/>
    </row>
    <row r="82" ht="12.75">
      <c r="V82" s="1"/>
    </row>
    <row r="83" ht="12.75">
      <c r="V83" s="1"/>
    </row>
    <row r="84" ht="12.75">
      <c r="V84" s="1"/>
    </row>
    <row r="85" ht="12.75">
      <c r="V85" s="1"/>
    </row>
    <row r="86" ht="12.75">
      <c r="V86" s="1"/>
    </row>
    <row r="87" ht="12.75">
      <c r="V87" s="1"/>
    </row>
  </sheetData>
  <mergeCells count="10">
    <mergeCell ref="G11:K11"/>
    <mergeCell ref="A11:E11"/>
    <mergeCell ref="A19:E19"/>
    <mergeCell ref="G19:K19"/>
    <mergeCell ref="A1:H1"/>
    <mergeCell ref="I1:Q1"/>
    <mergeCell ref="R1:Y1"/>
    <mergeCell ref="C8:F8"/>
    <mergeCell ref="K8:N8"/>
    <mergeCell ref="T8:W8"/>
  </mergeCells>
  <printOptions/>
  <pageMargins left="0.7479166666666667" right="0.7479166666666667" top="0.9840277777777777" bottom="0.9840277777777777" header="0.5118055555555555" footer="0.5118055555555555"/>
  <pageSetup horizontalDpi="300" verticalDpi="300" orientation="portrait"/>
  <drawing r:id="rId3"/>
  <legacyDrawing r:id="rId2"/>
</worksheet>
</file>

<file path=xl/worksheets/sheet6.xml><?xml version="1.0" encoding="utf-8"?>
<worksheet xmlns="http://schemas.openxmlformats.org/spreadsheetml/2006/main" xmlns:r="http://schemas.openxmlformats.org/officeDocument/2006/relationships">
  <dimension ref="A1:X471"/>
  <sheetViews>
    <sheetView workbookViewId="0" topLeftCell="A43">
      <selection activeCell="B8" sqref="B8"/>
    </sheetView>
  </sheetViews>
  <sheetFormatPr defaultColWidth="9.140625" defaultRowHeight="12.75"/>
  <cols>
    <col min="1" max="1" width="26.28125" style="0" customWidth="1"/>
    <col min="2" max="2" width="12.28125" style="0" customWidth="1"/>
    <col min="3" max="3" width="11.00390625" style="0" customWidth="1"/>
    <col min="4" max="4" width="16.8515625" style="0" customWidth="1"/>
    <col min="5" max="6" width="12.7109375" style="0" customWidth="1"/>
    <col min="7" max="7" width="20.140625" style="0" customWidth="1"/>
    <col min="8" max="8" width="10.28125" style="0" customWidth="1"/>
    <col min="9" max="10" width="11.421875" style="0" customWidth="1"/>
    <col min="11" max="11" width="14.421875" style="0" customWidth="1"/>
    <col min="12" max="12" width="8.8515625" style="0" customWidth="1"/>
    <col min="13" max="13" width="8.8515625" style="25" customWidth="1"/>
    <col min="14" max="15" width="14.140625" style="0" customWidth="1"/>
    <col min="16" max="17" width="8.8515625" style="0" customWidth="1"/>
    <col min="18" max="18" width="8.8515625" style="25" customWidth="1"/>
    <col min="19" max="19" width="11.7109375" style="104" customWidth="1"/>
    <col min="20" max="20" width="14.140625" style="0" customWidth="1"/>
    <col min="21" max="21" width="11.00390625" style="0" customWidth="1"/>
    <col min="22" max="22" width="11.140625" style="0" customWidth="1"/>
    <col min="23" max="23" width="13.140625" style="0" customWidth="1"/>
    <col min="24" max="25" width="8.8515625" style="0" customWidth="1"/>
    <col min="26" max="26" width="11.140625" style="0" customWidth="1"/>
    <col min="27" max="28" width="11.421875" style="0" customWidth="1"/>
    <col min="29" max="29" width="11.7109375" style="0" customWidth="1"/>
    <col min="30" max="32" width="8.8515625" style="0" customWidth="1"/>
    <col min="33" max="33" width="11.28125" style="0" customWidth="1"/>
    <col min="34" max="16384" width="8.8515625" style="0" customWidth="1"/>
  </cols>
  <sheetData>
    <row r="1" spans="2:21" ht="51" customHeight="1">
      <c r="B1" s="503" t="s">
        <v>415</v>
      </c>
      <c r="C1" s="265"/>
      <c r="D1" s="698"/>
      <c r="E1" s="784" t="s">
        <v>5</v>
      </c>
      <c r="F1" s="784"/>
      <c r="G1" s="791" t="s">
        <v>185</v>
      </c>
      <c r="H1" s="792"/>
      <c r="I1" s="792"/>
      <c r="J1" s="793"/>
      <c r="K1" s="788" t="s">
        <v>186</v>
      </c>
      <c r="L1" s="789"/>
      <c r="M1" s="789"/>
      <c r="N1" s="790"/>
      <c r="O1" s="785" t="s">
        <v>373</v>
      </c>
      <c r="P1" s="786"/>
      <c r="Q1" s="786"/>
      <c r="R1" s="787"/>
      <c r="S1" s="219" t="s">
        <v>374</v>
      </c>
      <c r="T1" s="219" t="s">
        <v>375</v>
      </c>
      <c r="U1" s="219" t="s">
        <v>376</v>
      </c>
    </row>
    <row r="2" spans="2:21" ht="13.5" thickBot="1">
      <c r="B2" s="265">
        <v>2007</v>
      </c>
      <c r="C2" s="265">
        <v>2020</v>
      </c>
      <c r="D2" s="698">
        <v>2030</v>
      </c>
      <c r="E2" s="700">
        <v>2020</v>
      </c>
      <c r="F2" s="700">
        <v>2030</v>
      </c>
      <c r="G2" s="507"/>
      <c r="H2" s="222">
        <v>2007</v>
      </c>
      <c r="I2" s="222">
        <v>2020</v>
      </c>
      <c r="J2" s="508">
        <v>2030</v>
      </c>
      <c r="K2" s="506"/>
      <c r="L2" s="223">
        <v>2007</v>
      </c>
      <c r="M2" s="223">
        <v>2020</v>
      </c>
      <c r="N2" s="223">
        <v>2030</v>
      </c>
      <c r="O2" s="224"/>
      <c r="P2" s="225">
        <v>2007</v>
      </c>
      <c r="Q2" s="225">
        <v>2020</v>
      </c>
      <c r="R2" s="225">
        <v>2030</v>
      </c>
      <c r="S2" s="226"/>
      <c r="T2" s="226"/>
      <c r="U2" s="226"/>
    </row>
    <row r="3" spans="1:21" ht="12.75">
      <c r="A3" s="234" t="s">
        <v>247</v>
      </c>
      <c r="B3" s="265">
        <v>11.95</v>
      </c>
      <c r="C3" s="265">
        <f>B3</f>
        <v>11.95</v>
      </c>
      <c r="D3" s="265">
        <f>C3</f>
        <v>11.95</v>
      </c>
      <c r="E3" s="699">
        <f aca="true" t="shared" si="0" ref="E3:E18">F35</f>
        <v>11.95</v>
      </c>
      <c r="F3" s="699">
        <f aca="true" t="shared" si="1" ref="F3:F18">G35</f>
        <v>11.95</v>
      </c>
      <c r="G3" s="507"/>
      <c r="H3" s="228"/>
      <c r="I3" s="228"/>
      <c r="J3" s="509"/>
      <c r="K3" s="506"/>
      <c r="L3" s="229"/>
      <c r="M3" s="229"/>
      <c r="N3" s="229"/>
      <c r="O3" s="224"/>
      <c r="P3" s="230"/>
      <c r="Q3" s="230"/>
      <c r="R3" s="230"/>
      <c r="S3" s="231" t="s">
        <v>72</v>
      </c>
      <c r="T3" s="232"/>
      <c r="U3" s="233">
        <v>0.03</v>
      </c>
    </row>
    <row r="4" spans="1:21" ht="25.5">
      <c r="A4" s="234" t="s">
        <v>248</v>
      </c>
      <c r="B4" s="265">
        <v>4.6</v>
      </c>
      <c r="C4" s="265">
        <f>B4</f>
        <v>4.6</v>
      </c>
      <c r="D4" s="265">
        <f>C4</f>
        <v>4.6</v>
      </c>
      <c r="E4" s="697">
        <f t="shared" si="0"/>
        <v>4.6</v>
      </c>
      <c r="F4" s="697">
        <f t="shared" si="1"/>
        <v>4.6</v>
      </c>
      <c r="G4" s="507" t="s">
        <v>383</v>
      </c>
      <c r="H4" s="240">
        <f>0.122*100</f>
        <v>12.2</v>
      </c>
      <c r="I4" s="240">
        <f>100*0.203</f>
        <v>20.3</v>
      </c>
      <c r="J4" s="510">
        <f>100*0.243</f>
        <v>24.3</v>
      </c>
      <c r="K4" s="506" t="s">
        <v>383</v>
      </c>
      <c r="L4" s="241">
        <f>100*0.122</f>
        <v>12.2</v>
      </c>
      <c r="M4" s="241">
        <f>100*0.203</f>
        <v>20.3</v>
      </c>
      <c r="N4" s="241">
        <f>100*0.243</f>
        <v>24.3</v>
      </c>
      <c r="O4" s="224" t="s">
        <v>383</v>
      </c>
      <c r="P4" s="242">
        <f>100*0.122</f>
        <v>12.2</v>
      </c>
      <c r="Q4" s="242">
        <f>100*0.203</f>
        <v>20.3</v>
      </c>
      <c r="R4" s="242">
        <f>100*0.243</f>
        <v>24.3</v>
      </c>
      <c r="S4" s="243" t="s">
        <v>12</v>
      </c>
      <c r="T4" s="244"/>
      <c r="U4" s="245">
        <v>0.01</v>
      </c>
    </row>
    <row r="5" spans="1:21" ht="25.5">
      <c r="A5" s="234" t="s">
        <v>250</v>
      </c>
      <c r="B5" s="265">
        <v>4.4</v>
      </c>
      <c r="C5" s="265">
        <v>4.4</v>
      </c>
      <c r="D5" s="265">
        <v>4.4</v>
      </c>
      <c r="E5" s="697">
        <f t="shared" si="0"/>
        <v>4.4</v>
      </c>
      <c r="F5" s="697">
        <f t="shared" si="1"/>
        <v>4.4</v>
      </c>
      <c r="G5" s="507" t="s">
        <v>390</v>
      </c>
      <c r="H5" s="240">
        <f>H4*$H$23</f>
        <v>15.4</v>
      </c>
      <c r="I5" s="240">
        <f>I4*$H$23</f>
        <v>25.62459016393443</v>
      </c>
      <c r="J5" s="510">
        <f>J4*$H$23</f>
        <v>30.673770491803282</v>
      </c>
      <c r="K5" s="506" t="s">
        <v>390</v>
      </c>
      <c r="L5" s="241">
        <f>100*0.165</f>
        <v>16.5</v>
      </c>
      <c r="M5" s="241">
        <f>100*0.999</f>
        <v>99.9</v>
      </c>
      <c r="N5" s="241">
        <f>100*2.437</f>
        <v>243.7</v>
      </c>
      <c r="O5" s="224" t="s">
        <v>390</v>
      </c>
      <c r="P5" s="242">
        <f>100*0.149</f>
        <v>14.899999999999999</v>
      </c>
      <c r="Q5" s="242">
        <f>100*0.205</f>
        <v>20.5</v>
      </c>
      <c r="R5" s="242">
        <f>100*0.239</f>
        <v>23.9</v>
      </c>
      <c r="S5" s="243" t="s">
        <v>70</v>
      </c>
      <c r="T5" s="246">
        <v>0.02</v>
      </c>
      <c r="U5" s="245">
        <f>T5</f>
        <v>0.02</v>
      </c>
    </row>
    <row r="6" spans="1:21" ht="25.5">
      <c r="A6" s="234" t="s">
        <v>251</v>
      </c>
      <c r="B6" s="265">
        <v>10.7</v>
      </c>
      <c r="C6" s="265">
        <v>7</v>
      </c>
      <c r="D6" s="265">
        <v>6</v>
      </c>
      <c r="E6" s="697">
        <f t="shared" si="0"/>
        <v>7</v>
      </c>
      <c r="F6" s="697">
        <f t="shared" si="1"/>
        <v>6</v>
      </c>
      <c r="G6" s="507" t="s">
        <v>201</v>
      </c>
      <c r="H6" s="240">
        <f>100*5.7</f>
        <v>570</v>
      </c>
      <c r="I6" s="247">
        <f>100*10</f>
        <v>1000</v>
      </c>
      <c r="J6" s="511">
        <f>100*13.1</f>
        <v>1310</v>
      </c>
      <c r="K6" s="506" t="s">
        <v>201</v>
      </c>
      <c r="L6" s="241">
        <f>100*5.7</f>
        <v>570</v>
      </c>
      <c r="M6" s="241">
        <f>100*10</f>
        <v>1000</v>
      </c>
      <c r="N6" s="241">
        <f>100*13.1</f>
        <v>1310</v>
      </c>
      <c r="O6" s="224" t="s">
        <v>201</v>
      </c>
      <c r="P6" s="242">
        <f>100*5.7</f>
        <v>570</v>
      </c>
      <c r="Q6" s="242">
        <f>100*10</f>
        <v>1000</v>
      </c>
      <c r="R6" s="242">
        <f>100*13.1</f>
        <v>1310</v>
      </c>
      <c r="S6" s="243" t="s">
        <v>202</v>
      </c>
      <c r="T6" s="244"/>
      <c r="U6" s="245">
        <v>0.01</v>
      </c>
    </row>
    <row r="7" spans="1:21" ht="25.5">
      <c r="A7" s="234" t="s">
        <v>256</v>
      </c>
      <c r="B7" s="265">
        <v>7.1</v>
      </c>
      <c r="C7" s="265">
        <v>7.1</v>
      </c>
      <c r="D7" s="265">
        <v>7.1</v>
      </c>
      <c r="E7" s="697">
        <f t="shared" si="0"/>
        <v>7.1</v>
      </c>
      <c r="F7" s="697">
        <f t="shared" si="1"/>
        <v>7.1</v>
      </c>
      <c r="G7" s="507" t="s">
        <v>207</v>
      </c>
      <c r="H7" s="240">
        <f>H6*$H$23</f>
        <v>719.5081967213115</v>
      </c>
      <c r="I7" s="240">
        <f>I6*$H$23</f>
        <v>1262.2950819672133</v>
      </c>
      <c r="J7" s="510">
        <f>J6*$H$23</f>
        <v>1653.6065573770493</v>
      </c>
      <c r="K7" s="506" t="s">
        <v>207</v>
      </c>
      <c r="L7" s="241">
        <f>100*7.6</f>
        <v>760</v>
      </c>
      <c r="M7" s="241">
        <f>100*51.1</f>
        <v>5110</v>
      </c>
      <c r="N7" s="241">
        <f>100*168.8</f>
        <v>16880</v>
      </c>
      <c r="O7" s="224" t="s">
        <v>207</v>
      </c>
      <c r="P7" s="242">
        <f>100*6.933</f>
        <v>693.3</v>
      </c>
      <c r="Q7" s="242">
        <f>100*10.11</f>
        <v>1011</v>
      </c>
      <c r="R7" s="242">
        <f>100*12.71</f>
        <v>1271</v>
      </c>
      <c r="S7" s="243" t="s">
        <v>208</v>
      </c>
      <c r="T7" s="244"/>
      <c r="U7" s="245">
        <v>0.02</v>
      </c>
    </row>
    <row r="8" spans="1:21" ht="26.25" thickBot="1">
      <c r="A8" s="234" t="s">
        <v>8</v>
      </c>
      <c r="B8" s="265">
        <v>6.6</v>
      </c>
      <c r="C8" s="265">
        <v>5.5</v>
      </c>
      <c r="D8" s="265">
        <v>4.5</v>
      </c>
      <c r="E8" s="697">
        <f t="shared" si="0"/>
        <v>5.5</v>
      </c>
      <c r="F8" s="697">
        <f t="shared" si="1"/>
        <v>4.5</v>
      </c>
      <c r="G8" s="507" t="s">
        <v>211</v>
      </c>
      <c r="H8" s="251">
        <f>H7/(1000*$H$22)</f>
        <v>2.424167300503293</v>
      </c>
      <c r="I8" s="251">
        <f>I7/(1000*$H$22)</f>
        <v>4.252925088602269</v>
      </c>
      <c r="J8" s="512">
        <f>J7/(1000*$H$22)</f>
        <v>5.571331866068973</v>
      </c>
      <c r="K8" s="506" t="s">
        <v>211</v>
      </c>
      <c r="L8" s="252">
        <f>L7/(1000*$H$22)</f>
        <v>2.5605923000987167</v>
      </c>
      <c r="M8" s="252">
        <f>M7/(1000*$H$22)</f>
        <v>17.216614017769004</v>
      </c>
      <c r="N8" s="252">
        <f>N7/(1000*$H$22)</f>
        <v>56.87210266535044</v>
      </c>
      <c r="O8" s="224" t="s">
        <v>211</v>
      </c>
      <c r="P8" s="253">
        <f>P7/(1000*$H$22)</f>
        <v>2.3358666337611056</v>
      </c>
      <c r="Q8" s="253">
        <f>Q7/(1000*$H$22)</f>
        <v>3.4062615992102665</v>
      </c>
      <c r="R8" s="253">
        <f>R7/(1000*$H$22)</f>
        <v>4.282253701875617</v>
      </c>
      <c r="S8" s="254"/>
      <c r="T8" s="254"/>
      <c r="U8" s="255"/>
    </row>
    <row r="9" spans="1:19" ht="38.25">
      <c r="A9" s="234" t="s">
        <v>262</v>
      </c>
      <c r="B9" s="265">
        <v>6.6</v>
      </c>
      <c r="C9" s="265">
        <v>6</v>
      </c>
      <c r="D9" s="265">
        <v>6</v>
      </c>
      <c r="E9" s="697">
        <f t="shared" si="0"/>
        <v>6</v>
      </c>
      <c r="F9" s="697">
        <f t="shared" si="1"/>
        <v>6</v>
      </c>
      <c r="G9" s="507" t="s">
        <v>217</v>
      </c>
      <c r="H9" s="240">
        <f>100*2.3</f>
        <v>229.99999999999997</v>
      </c>
      <c r="I9" s="240">
        <f>100*3.2</f>
        <v>320</v>
      </c>
      <c r="J9" s="510">
        <f>100*4.6</f>
        <v>459.99999999999994</v>
      </c>
      <c r="K9" s="506" t="s">
        <v>217</v>
      </c>
      <c r="L9" s="241">
        <f>100*2.3</f>
        <v>229.99999999999997</v>
      </c>
      <c r="M9" s="241">
        <f>100*3.2</f>
        <v>320</v>
      </c>
      <c r="N9" s="241">
        <f>100*4.6</f>
        <v>459.99999999999994</v>
      </c>
      <c r="O9" s="224" t="s">
        <v>217</v>
      </c>
      <c r="P9" s="242">
        <f>100*2.3</f>
        <v>229.99999999999997</v>
      </c>
      <c r="Q9" s="242">
        <f>100*3.2</f>
        <v>320</v>
      </c>
      <c r="R9" s="242">
        <f>100*4.6</f>
        <v>459.99999999999994</v>
      </c>
      <c r="S9"/>
    </row>
    <row r="10" spans="1:19" ht="38.25">
      <c r="A10" s="234" t="s">
        <v>269</v>
      </c>
      <c r="B10" s="265">
        <v>11</v>
      </c>
      <c r="C10" s="265">
        <v>10</v>
      </c>
      <c r="D10" s="265">
        <v>10</v>
      </c>
      <c r="E10" s="697">
        <f t="shared" si="0"/>
        <v>10</v>
      </c>
      <c r="F10" s="697">
        <f t="shared" si="1"/>
        <v>10</v>
      </c>
      <c r="G10" s="507" t="s">
        <v>220</v>
      </c>
      <c r="H10" s="240">
        <f>H9*$H$23</f>
        <v>290.327868852459</v>
      </c>
      <c r="I10" s="240">
        <f>I9*$H$23</f>
        <v>403.93442622950823</v>
      </c>
      <c r="J10" s="510">
        <f>J9*$H$23</f>
        <v>580.655737704918</v>
      </c>
      <c r="K10" s="506" t="s">
        <v>220</v>
      </c>
      <c r="L10" s="241">
        <f>100*3.01</f>
        <v>301</v>
      </c>
      <c r="M10" s="241">
        <f>100*14.4</f>
        <v>1440</v>
      </c>
      <c r="N10" s="241">
        <f>100*47.8</f>
        <v>4780</v>
      </c>
      <c r="O10" s="224" t="s">
        <v>220</v>
      </c>
      <c r="P10" s="242">
        <f>100*2.91</f>
        <v>291</v>
      </c>
      <c r="Q10" s="242">
        <f>100*4.03</f>
        <v>403</v>
      </c>
      <c r="R10" s="242">
        <f>100*5.08</f>
        <v>508</v>
      </c>
      <c r="S10"/>
    </row>
    <row r="11" spans="1:19" ht="25.5">
      <c r="A11" s="234" t="s">
        <v>275</v>
      </c>
      <c r="B11" s="265">
        <v>11</v>
      </c>
      <c r="C11" s="265">
        <v>6</v>
      </c>
      <c r="D11" s="265">
        <v>6</v>
      </c>
      <c r="E11" s="697">
        <f t="shared" si="0"/>
        <v>6</v>
      </c>
      <c r="F11" s="697">
        <f t="shared" si="1"/>
        <v>6</v>
      </c>
      <c r="G11" s="507" t="s">
        <v>85</v>
      </c>
      <c r="H11" s="251">
        <f>H10/$H$27</f>
        <v>7.932455433127295</v>
      </c>
      <c r="I11" s="251">
        <f>I10/$H$27</f>
        <v>11.036459733046673</v>
      </c>
      <c r="J11" s="512">
        <f>J10/$H$27</f>
        <v>15.86491086625459</v>
      </c>
      <c r="K11" s="506" t="s">
        <v>85</v>
      </c>
      <c r="L11" s="252">
        <f>L10/$H$27</f>
        <v>8.224043715846994</v>
      </c>
      <c r="M11" s="252">
        <f>M10/$H$27</f>
        <v>39.34426229508197</v>
      </c>
      <c r="N11" s="252">
        <f>N10/$H$27</f>
        <v>130.60109289617486</v>
      </c>
      <c r="O11" s="224" t="s">
        <v>85</v>
      </c>
      <c r="P11" s="253">
        <f>P10/$H$27</f>
        <v>7.950819672131147</v>
      </c>
      <c r="Q11" s="253">
        <f>Q10/$H$27</f>
        <v>11.010928961748634</v>
      </c>
      <c r="R11" s="253">
        <f>R10/$H$27</f>
        <v>13.879781420765028</v>
      </c>
      <c r="S11"/>
    </row>
    <row r="12" spans="1:19" ht="25.5">
      <c r="A12" s="234" t="s">
        <v>278</v>
      </c>
      <c r="B12" s="265">
        <v>18.6</v>
      </c>
      <c r="C12" s="4">
        <f>B12*(0.8^((C$2-B$2)/4))</f>
        <v>9.006486490859047</v>
      </c>
      <c r="D12" s="4">
        <f>C12*(0.9^((D$2-C$2)/4))</f>
        <v>6.920885679476403</v>
      </c>
      <c r="E12" s="697">
        <f t="shared" si="0"/>
        <v>9.006486490859047</v>
      </c>
      <c r="F12" s="697">
        <f t="shared" si="1"/>
        <v>6.920885679476403</v>
      </c>
      <c r="G12" s="507" t="s">
        <v>87</v>
      </c>
      <c r="H12" s="240">
        <f>100*2.4</f>
        <v>240</v>
      </c>
      <c r="I12" s="240">
        <f>100*3.2</f>
        <v>320</v>
      </c>
      <c r="J12" s="510">
        <f>100*4.4</f>
        <v>440.00000000000006</v>
      </c>
      <c r="K12" s="506" t="s">
        <v>87</v>
      </c>
      <c r="L12" s="241">
        <f>100*2.4</f>
        <v>240</v>
      </c>
      <c r="M12" s="241">
        <f>100*3.2</f>
        <v>320</v>
      </c>
      <c r="N12" s="241">
        <f>100*4.4</f>
        <v>440.00000000000006</v>
      </c>
      <c r="O12" s="224" t="s">
        <v>87</v>
      </c>
      <c r="P12" s="242">
        <f>100*2.4</f>
        <v>240</v>
      </c>
      <c r="Q12" s="242">
        <f>100*3.2</f>
        <v>320</v>
      </c>
      <c r="R12" s="242">
        <f>100*4.4</f>
        <v>440.00000000000006</v>
      </c>
      <c r="S12"/>
    </row>
    <row r="13" spans="1:19" ht="25.5">
      <c r="A13" s="234" t="s">
        <v>283</v>
      </c>
      <c r="B13" s="268">
        <v>41.7</v>
      </c>
      <c r="C13" s="4">
        <f>B13*(0.8^((C$2-B$2)/4))</f>
        <v>20.191961648861408</v>
      </c>
      <c r="D13" s="4">
        <f>C13*(0.9^((D$2-C$2)/4))</f>
        <v>15.516179184632579</v>
      </c>
      <c r="E13" s="697">
        <f t="shared" si="0"/>
        <v>20.191961648861408</v>
      </c>
      <c r="F13" s="697">
        <f t="shared" si="1"/>
        <v>15.516179184632579</v>
      </c>
      <c r="G13" s="507" t="s">
        <v>232</v>
      </c>
      <c r="H13" s="240">
        <f>H12*$H$23</f>
        <v>302.95081967213116</v>
      </c>
      <c r="I13" s="240">
        <f>I12*$H$23</f>
        <v>403.93442622950823</v>
      </c>
      <c r="J13" s="510">
        <f>J12*$H$23</f>
        <v>555.4098360655739</v>
      </c>
      <c r="K13" s="506" t="s">
        <v>232</v>
      </c>
      <c r="L13" s="241">
        <f>100*3.12</f>
        <v>312</v>
      </c>
      <c r="M13" s="241">
        <f>100*13.06</f>
        <v>1306</v>
      </c>
      <c r="N13" s="241">
        <f>100*36.45</f>
        <v>3645.0000000000005</v>
      </c>
      <c r="O13" s="224" t="s">
        <v>232</v>
      </c>
      <c r="P13" s="242">
        <f>100*3.02</f>
        <v>302</v>
      </c>
      <c r="Q13" s="242">
        <f>100*4.07</f>
        <v>407</v>
      </c>
      <c r="R13" s="242">
        <f>100*4.96</f>
        <v>496</v>
      </c>
      <c r="S13"/>
    </row>
    <row r="14" spans="1:19" ht="25.5">
      <c r="A14" s="234" t="s">
        <v>288</v>
      </c>
      <c r="B14" s="265">
        <v>21.9</v>
      </c>
      <c r="C14" s="4">
        <f>B14*(0.8^((C$2-B$2)/4))</f>
        <v>10.604411513430811</v>
      </c>
      <c r="D14" s="4">
        <f>C14*(0.9^((D$2-C$2)/4))</f>
        <v>8.148784751641571</v>
      </c>
      <c r="E14" s="697">
        <f t="shared" si="0"/>
        <v>10.604411513430811</v>
      </c>
      <c r="F14" s="697">
        <f t="shared" si="1"/>
        <v>8.148784751641571</v>
      </c>
      <c r="G14" s="507" t="s">
        <v>233</v>
      </c>
      <c r="H14" s="251">
        <f>H13/$H$29</f>
        <v>7.443509082853345</v>
      </c>
      <c r="I14" s="251">
        <f>I13/$H$29</f>
        <v>9.924678777137794</v>
      </c>
      <c r="J14" s="512">
        <f>J13/$H$29</f>
        <v>13.646433318564469</v>
      </c>
      <c r="K14" s="506" t="s">
        <v>233</v>
      </c>
      <c r="L14" s="252">
        <f>L13/$H$29</f>
        <v>7.665847665847665</v>
      </c>
      <c r="M14" s="252">
        <f>M13/$H$29</f>
        <v>32.08845208845209</v>
      </c>
      <c r="N14" s="252">
        <f>N13/$H$29</f>
        <v>89.55773955773957</v>
      </c>
      <c r="O14" s="224" t="s">
        <v>233</v>
      </c>
      <c r="P14" s="253">
        <f>P13/$H$29</f>
        <v>7.42014742014742</v>
      </c>
      <c r="Q14" s="253">
        <f>Q13/$H$29</f>
        <v>10</v>
      </c>
      <c r="R14" s="253">
        <f>R13/$H$29</f>
        <v>12.186732186732186</v>
      </c>
      <c r="S14"/>
    </row>
    <row r="15" spans="1:19" ht="25.5">
      <c r="A15" s="234" t="s">
        <v>294</v>
      </c>
      <c r="B15" s="265"/>
      <c r="C15" s="265"/>
      <c r="D15" s="265"/>
      <c r="E15" s="697">
        <f t="shared" si="0"/>
        <v>0</v>
      </c>
      <c r="F15" s="697">
        <f t="shared" si="1"/>
        <v>0</v>
      </c>
      <c r="G15" s="507" t="s">
        <v>234</v>
      </c>
      <c r="H15" s="228">
        <v>400</v>
      </c>
      <c r="I15" s="257">
        <f>H15*I14/H14</f>
        <v>533.3333333333334</v>
      </c>
      <c r="J15" s="513">
        <f>H15*J14/H14</f>
        <v>733.3333333333335</v>
      </c>
      <c r="K15" s="506" t="s">
        <v>234</v>
      </c>
      <c r="L15" s="229">
        <v>600</v>
      </c>
      <c r="M15" s="229">
        <f>L15*M14/L14</f>
        <v>2511.5384615384614</v>
      </c>
      <c r="N15" s="229">
        <f>L15*N14/L14</f>
        <v>7009.615384615386</v>
      </c>
      <c r="O15" s="224" t="s">
        <v>234</v>
      </c>
      <c r="P15" s="230">
        <v>600</v>
      </c>
      <c r="Q15" s="230">
        <f>P15*Q14/P14</f>
        <v>808.6092715231788</v>
      </c>
      <c r="R15" s="230">
        <f>P15*R14/P14</f>
        <v>985.4304635761589</v>
      </c>
      <c r="S15"/>
    </row>
    <row r="16" spans="1:19" ht="25.5">
      <c r="A16" s="234" t="s">
        <v>300</v>
      </c>
      <c r="B16" s="265">
        <v>40</v>
      </c>
      <c r="C16" s="4">
        <f>B16*(0.8^((C$2-B$2)/2))</f>
        <v>9.37874886229928</v>
      </c>
      <c r="D16" s="4">
        <f>C16*(0.9^((D$2-C$2)/4))</f>
        <v>7.206944545841605</v>
      </c>
      <c r="E16" s="697">
        <f t="shared" si="0"/>
        <v>9.37874886229928</v>
      </c>
      <c r="F16" s="697">
        <f t="shared" si="1"/>
        <v>7.206944545841605</v>
      </c>
      <c r="G16" s="514" t="s">
        <v>237</v>
      </c>
      <c r="H16" s="515">
        <f>100*H15/$H$27</f>
        <v>1092.8961748633878</v>
      </c>
      <c r="I16" s="515">
        <f>100*I15/$H$27</f>
        <v>1457.1948998178507</v>
      </c>
      <c r="J16" s="516">
        <f>100*J15/$H$27</f>
        <v>2003.6429872495448</v>
      </c>
      <c r="K16" s="506" t="s">
        <v>237</v>
      </c>
      <c r="L16" s="252">
        <f>L15/$H$27</f>
        <v>16.39344262295082</v>
      </c>
      <c r="M16" s="252">
        <f>M15/$H$27</f>
        <v>68.62126944094156</v>
      </c>
      <c r="N16" s="252">
        <f>N15/$H$27</f>
        <v>191.51954602774276</v>
      </c>
      <c r="O16" s="224" t="s">
        <v>237</v>
      </c>
      <c r="P16" s="253">
        <f>P15/$H$27</f>
        <v>16.39344262295082</v>
      </c>
      <c r="Q16" s="253">
        <f>Q15/$H$27</f>
        <v>22.09314949516882</v>
      </c>
      <c r="R16" s="253">
        <f>R15/$H$27</f>
        <v>26.92432960590598</v>
      </c>
      <c r="S16"/>
    </row>
    <row r="17" spans="1:19" ht="26.25" thickBot="1">
      <c r="A17" s="234" t="s">
        <v>301</v>
      </c>
      <c r="B17" s="266">
        <f>130</f>
        <v>130</v>
      </c>
      <c r="C17" s="266">
        <v>130</v>
      </c>
      <c r="D17" s="266">
        <v>130</v>
      </c>
      <c r="E17" s="697">
        <f t="shared" si="0"/>
        <v>130</v>
      </c>
      <c r="F17" s="697">
        <f t="shared" si="1"/>
        <v>130</v>
      </c>
      <c r="G17" s="24"/>
      <c r="M17" s="259"/>
      <c r="N17" s="29"/>
      <c r="O17" s="29"/>
      <c r="P17" s="29"/>
      <c r="Q17" s="29"/>
      <c r="R17" s="259"/>
      <c r="S17" s="15"/>
    </row>
    <row r="18" spans="1:19" ht="26.25" thickBot="1">
      <c r="A18" s="271" t="s">
        <v>302</v>
      </c>
      <c r="B18" s="265">
        <v>4.4369</v>
      </c>
      <c r="C18" s="265">
        <v>4.4369</v>
      </c>
      <c r="D18" s="265">
        <v>4.4369</v>
      </c>
      <c r="E18" s="697">
        <f t="shared" si="0"/>
        <v>4.4369</v>
      </c>
      <c r="F18" s="697">
        <f t="shared" si="1"/>
        <v>4.4369</v>
      </c>
      <c r="G18" s="687" t="s">
        <v>433</v>
      </c>
      <c r="H18" s="688">
        <v>0.03413</v>
      </c>
      <c r="I18" s="696"/>
      <c r="K18" s="674" t="s">
        <v>432</v>
      </c>
      <c r="L18" s="675"/>
      <c r="M18"/>
      <c r="R18"/>
      <c r="S18"/>
    </row>
    <row r="19" spans="7:19" ht="12.75">
      <c r="G19" s="689" t="s">
        <v>319</v>
      </c>
      <c r="H19" s="682">
        <v>3.6</v>
      </c>
      <c r="I19" s="690" t="s">
        <v>320</v>
      </c>
      <c r="K19" s="676" t="s">
        <v>126</v>
      </c>
      <c r="L19" s="677">
        <v>495</v>
      </c>
      <c r="M19"/>
      <c r="R19"/>
      <c r="S19"/>
    </row>
    <row r="20" spans="7:19" ht="12.75">
      <c r="G20" s="689" t="s">
        <v>322</v>
      </c>
      <c r="H20" s="682">
        <v>1013</v>
      </c>
      <c r="I20" s="690" t="s">
        <v>3</v>
      </c>
      <c r="K20" s="676" t="s">
        <v>317</v>
      </c>
      <c r="L20" s="677">
        <v>660</v>
      </c>
      <c r="M20"/>
      <c r="R20"/>
      <c r="S20"/>
    </row>
    <row r="21" spans="7:19" ht="13.5" thickBot="1">
      <c r="G21" s="691" t="s">
        <v>2</v>
      </c>
      <c r="H21" s="682">
        <f>H20/100000</f>
        <v>0.01013</v>
      </c>
      <c r="I21" s="690" t="s">
        <v>4</v>
      </c>
      <c r="K21" s="678" t="s">
        <v>12</v>
      </c>
      <c r="L21" s="679">
        <v>825</v>
      </c>
      <c r="M21"/>
      <c r="R21"/>
      <c r="S21"/>
    </row>
    <row r="22" spans="7:19" ht="13.5" thickBot="1">
      <c r="G22" s="691" t="s">
        <v>2</v>
      </c>
      <c r="H22" s="683">
        <f>H21/H18</f>
        <v>0.2968063287430413</v>
      </c>
      <c r="I22" s="690" t="s">
        <v>323</v>
      </c>
      <c r="M22"/>
      <c r="R22"/>
      <c r="S22"/>
    </row>
    <row r="23" spans="7:19" ht="12.75">
      <c r="G23" s="692" t="s">
        <v>325</v>
      </c>
      <c r="H23" s="684">
        <f>15.4/12.2</f>
        <v>1.2622950819672132</v>
      </c>
      <c r="I23" s="690"/>
      <c r="K23" s="674" t="s">
        <v>66</v>
      </c>
      <c r="L23" s="675"/>
      <c r="M23"/>
      <c r="R23"/>
      <c r="S23"/>
    </row>
    <row r="24" spans="7:19" ht="12.75">
      <c r="G24" s="692"/>
      <c r="H24" s="682"/>
      <c r="I24" s="690"/>
      <c r="K24" s="676" t="s">
        <v>378</v>
      </c>
      <c r="L24" s="680">
        <v>0.55</v>
      </c>
      <c r="M24"/>
      <c r="R24"/>
      <c r="S24"/>
    </row>
    <row r="25" spans="7:19" ht="12.75">
      <c r="G25" s="692" t="s">
        <v>326</v>
      </c>
      <c r="H25" s="682">
        <v>10.942</v>
      </c>
      <c r="I25" s="690" t="s">
        <v>327</v>
      </c>
      <c r="K25" s="676" t="s">
        <v>318</v>
      </c>
      <c r="L25" s="680">
        <v>0.35</v>
      </c>
      <c r="M25"/>
      <c r="R25"/>
      <c r="S25"/>
    </row>
    <row r="26" spans="7:19" ht="12.75">
      <c r="G26" s="692" t="s">
        <v>328</v>
      </c>
      <c r="H26" s="682">
        <v>9.7</v>
      </c>
      <c r="I26" s="690" t="s">
        <v>327</v>
      </c>
      <c r="K26" s="676" t="s">
        <v>321</v>
      </c>
      <c r="L26" s="680">
        <v>0.35</v>
      </c>
      <c r="M26"/>
      <c r="R26"/>
      <c r="S26"/>
    </row>
    <row r="27" spans="7:19" ht="13.5" thickBot="1">
      <c r="G27" s="691" t="s">
        <v>2</v>
      </c>
      <c r="H27" s="685">
        <v>36.6</v>
      </c>
      <c r="I27" s="690" t="s">
        <v>223</v>
      </c>
      <c r="K27" s="678" t="s">
        <v>324</v>
      </c>
      <c r="L27" s="681">
        <v>0.92</v>
      </c>
      <c r="M27"/>
      <c r="R27"/>
      <c r="S27"/>
    </row>
    <row r="28" spans="7:19" ht="12.75">
      <c r="G28" s="692" t="s">
        <v>329</v>
      </c>
      <c r="H28" s="686">
        <f>H29*3.6</f>
        <v>146.52</v>
      </c>
      <c r="I28" s="690" t="s">
        <v>222</v>
      </c>
      <c r="M28"/>
      <c r="R28"/>
      <c r="S28"/>
    </row>
    <row r="29" spans="7:19" ht="13.5" thickBot="1">
      <c r="G29" s="693" t="s">
        <v>2</v>
      </c>
      <c r="H29" s="694">
        <v>40.7</v>
      </c>
      <c r="I29" s="695" t="s">
        <v>223</v>
      </c>
      <c r="M29"/>
      <c r="R29"/>
      <c r="S29"/>
    </row>
    <row r="30" spans="13:19" ht="12.75">
      <c r="M30"/>
      <c r="R30"/>
      <c r="S30"/>
    </row>
    <row r="31" spans="13:19" ht="12.75">
      <c r="M31" s="261"/>
      <c r="N31" s="504"/>
      <c r="O31" s="504"/>
      <c r="P31" s="504"/>
      <c r="R31"/>
      <c r="S31"/>
    </row>
    <row r="32" spans="7:19" ht="12.75" customHeight="1" thickBot="1">
      <c r="G32" s="24"/>
      <c r="M32" s="261"/>
      <c r="N32" s="504"/>
      <c r="O32" s="504"/>
      <c r="P32" s="504"/>
      <c r="Q32" s="504"/>
      <c r="R32" s="261"/>
      <c r="S32" s="27"/>
    </row>
    <row r="33" spans="1:10" ht="79.5" customHeight="1" thickBot="1">
      <c r="A33" s="782" t="s">
        <v>1</v>
      </c>
      <c r="B33" s="783"/>
      <c r="C33" s="794" t="s">
        <v>406</v>
      </c>
      <c r="D33" s="795"/>
      <c r="E33" s="795"/>
      <c r="F33" s="795"/>
      <c r="G33" s="795"/>
      <c r="H33" s="795"/>
      <c r="I33" s="796"/>
      <c r="J33" s="261"/>
    </row>
    <row r="34" spans="1:10" ht="51.75" thickBot="1">
      <c r="A34" s="349"/>
      <c r="B34" s="465" t="s">
        <v>400</v>
      </c>
      <c r="C34" s="465" t="s">
        <v>401</v>
      </c>
      <c r="D34" s="465" t="s">
        <v>402</v>
      </c>
      <c r="E34" s="465" t="s">
        <v>403</v>
      </c>
      <c r="F34" s="465" t="s">
        <v>399</v>
      </c>
      <c r="G34" s="464" t="s">
        <v>408</v>
      </c>
      <c r="H34" s="462" t="s">
        <v>404</v>
      </c>
      <c r="I34" s="673" t="s">
        <v>405</v>
      </c>
      <c r="J34" s="27"/>
    </row>
    <row r="35" spans="1:24" ht="12.75" customHeight="1">
      <c r="A35" s="458" t="s">
        <v>247</v>
      </c>
      <c r="B35" s="27">
        <v>0</v>
      </c>
      <c r="C35" s="27">
        <v>0</v>
      </c>
      <c r="D35" s="27">
        <v>0</v>
      </c>
      <c r="E35" s="27">
        <v>0</v>
      </c>
      <c r="F35" s="466">
        <f aca="true" t="shared" si="2" ref="F35:F46">C3</f>
        <v>11.95</v>
      </c>
      <c r="G35" s="467">
        <f aca="true" t="shared" si="3" ref="G35:G46">D3</f>
        <v>11.95</v>
      </c>
      <c r="H35" s="468">
        <f>F35*(1+$B$55*B35+C35*$B$51+D35*$B$53)</f>
        <v>11.95</v>
      </c>
      <c r="I35" s="469">
        <f aca="true" t="shared" si="4" ref="I35:I50">G35*(1+B35*$B$56+C35*$B$54+D35*$B$52)</f>
        <v>11.95</v>
      </c>
      <c r="J35" s="27"/>
      <c r="X35" s="216"/>
    </row>
    <row r="36" spans="1:24" ht="12.75" customHeight="1">
      <c r="A36" s="459" t="s">
        <v>248</v>
      </c>
      <c r="B36" s="27">
        <v>0</v>
      </c>
      <c r="C36" s="27">
        <v>0</v>
      </c>
      <c r="D36" s="27">
        <v>0</v>
      </c>
      <c r="E36" s="27">
        <v>0</v>
      </c>
      <c r="F36" s="456">
        <f t="shared" si="2"/>
        <v>4.6</v>
      </c>
      <c r="G36" s="457">
        <f t="shared" si="3"/>
        <v>4.6</v>
      </c>
      <c r="H36" s="463">
        <f aca="true" t="shared" si="5" ref="H36:H50">F36*(1+$B$55*B36+C36*$B$51+D36*$B$53)</f>
        <v>4.6</v>
      </c>
      <c r="I36" s="470">
        <f t="shared" si="4"/>
        <v>4.6</v>
      </c>
      <c r="J36" s="27"/>
      <c r="X36" s="216"/>
    </row>
    <row r="37" spans="1:24" ht="12.75" customHeight="1">
      <c r="A37" s="459" t="s">
        <v>250</v>
      </c>
      <c r="B37" s="27">
        <v>0</v>
      </c>
      <c r="C37" s="27">
        <v>0</v>
      </c>
      <c r="D37" s="27">
        <v>0</v>
      </c>
      <c r="E37" s="27">
        <v>0</v>
      </c>
      <c r="F37" s="456">
        <f t="shared" si="2"/>
        <v>4.4</v>
      </c>
      <c r="G37" s="456">
        <f t="shared" si="3"/>
        <v>4.4</v>
      </c>
      <c r="H37" s="463">
        <f t="shared" si="5"/>
        <v>4.4</v>
      </c>
      <c r="I37" s="470">
        <f t="shared" si="4"/>
        <v>4.4</v>
      </c>
      <c r="J37" s="27"/>
      <c r="X37" s="216"/>
    </row>
    <row r="38" spans="1:24" ht="12.75" customHeight="1">
      <c r="A38" s="459" t="s">
        <v>251</v>
      </c>
      <c r="B38" s="27">
        <v>0</v>
      </c>
      <c r="C38" s="27">
        <v>0</v>
      </c>
      <c r="D38" s="27">
        <v>0</v>
      </c>
      <c r="E38" s="27">
        <v>0</v>
      </c>
      <c r="F38" s="456">
        <f t="shared" si="2"/>
        <v>7</v>
      </c>
      <c r="G38" s="456">
        <f t="shared" si="3"/>
        <v>6</v>
      </c>
      <c r="H38" s="463">
        <f t="shared" si="5"/>
        <v>7</v>
      </c>
      <c r="I38" s="470">
        <f t="shared" si="4"/>
        <v>6</v>
      </c>
      <c r="J38" s="27"/>
      <c r="X38" s="216"/>
    </row>
    <row r="39" spans="1:10" ht="12.75" customHeight="1">
      <c r="A39" s="459" t="s">
        <v>256</v>
      </c>
      <c r="B39" s="27">
        <v>0</v>
      </c>
      <c r="C39" s="27">
        <v>0</v>
      </c>
      <c r="D39" s="27">
        <v>0</v>
      </c>
      <c r="E39" s="27">
        <v>0</v>
      </c>
      <c r="F39" s="456">
        <f t="shared" si="2"/>
        <v>7.1</v>
      </c>
      <c r="G39" s="456">
        <f t="shared" si="3"/>
        <v>7.1</v>
      </c>
      <c r="H39" s="463">
        <f t="shared" si="5"/>
        <v>7.1</v>
      </c>
      <c r="I39" s="470">
        <f t="shared" si="4"/>
        <v>7.1</v>
      </c>
      <c r="J39" s="27"/>
    </row>
    <row r="40" spans="1:10" ht="12.75" customHeight="1">
      <c r="A40" s="459" t="s">
        <v>8</v>
      </c>
      <c r="B40" s="27">
        <v>0</v>
      </c>
      <c r="C40" s="27">
        <v>0</v>
      </c>
      <c r="D40" s="27">
        <v>0</v>
      </c>
      <c r="E40" s="27">
        <v>0</v>
      </c>
      <c r="F40" s="456">
        <f t="shared" si="2"/>
        <v>5.5</v>
      </c>
      <c r="G40" s="456">
        <f t="shared" si="3"/>
        <v>4.5</v>
      </c>
      <c r="H40" s="463">
        <f t="shared" si="5"/>
        <v>5.5</v>
      </c>
      <c r="I40" s="470">
        <f t="shared" si="4"/>
        <v>4.5</v>
      </c>
      <c r="J40" s="27"/>
    </row>
    <row r="41" spans="1:10" ht="12.75" customHeight="1">
      <c r="A41" s="459" t="s">
        <v>262</v>
      </c>
      <c r="B41" s="27">
        <v>0</v>
      </c>
      <c r="C41" s="27">
        <v>0</v>
      </c>
      <c r="D41" s="27">
        <v>0</v>
      </c>
      <c r="E41" s="27">
        <v>0</v>
      </c>
      <c r="F41" s="456">
        <f t="shared" si="2"/>
        <v>6</v>
      </c>
      <c r="G41" s="456">
        <f t="shared" si="3"/>
        <v>6</v>
      </c>
      <c r="H41" s="463">
        <f t="shared" si="5"/>
        <v>6</v>
      </c>
      <c r="I41" s="470">
        <f t="shared" si="4"/>
        <v>6</v>
      </c>
      <c r="J41" s="27"/>
    </row>
    <row r="42" spans="1:10" ht="12.75" customHeight="1">
      <c r="A42" s="459" t="s">
        <v>269</v>
      </c>
      <c r="B42" s="27">
        <v>0</v>
      </c>
      <c r="C42" s="27">
        <v>0</v>
      </c>
      <c r="D42" s="27">
        <v>0</v>
      </c>
      <c r="E42" s="27">
        <v>0</v>
      </c>
      <c r="F42" s="456">
        <f t="shared" si="2"/>
        <v>10</v>
      </c>
      <c r="G42" s="456">
        <f t="shared" si="3"/>
        <v>10</v>
      </c>
      <c r="H42" s="463">
        <f t="shared" si="5"/>
        <v>10</v>
      </c>
      <c r="I42" s="470">
        <f t="shared" si="4"/>
        <v>10</v>
      </c>
      <c r="J42" s="27"/>
    </row>
    <row r="43" spans="1:10" ht="12.75" customHeight="1">
      <c r="A43" s="459" t="s">
        <v>275</v>
      </c>
      <c r="B43" s="27">
        <v>0</v>
      </c>
      <c r="C43" s="27">
        <v>0</v>
      </c>
      <c r="D43" s="27">
        <v>0</v>
      </c>
      <c r="E43" s="27">
        <v>0</v>
      </c>
      <c r="F43" s="456">
        <f t="shared" si="2"/>
        <v>6</v>
      </c>
      <c r="G43" s="456">
        <f t="shared" si="3"/>
        <v>6</v>
      </c>
      <c r="H43" s="463">
        <f t="shared" si="5"/>
        <v>6</v>
      </c>
      <c r="I43" s="470">
        <f t="shared" si="4"/>
        <v>6</v>
      </c>
      <c r="J43" s="27"/>
    </row>
    <row r="44" spans="1:10" ht="12.75" customHeight="1">
      <c r="A44" s="459" t="s">
        <v>278</v>
      </c>
      <c r="B44" s="27">
        <v>0</v>
      </c>
      <c r="C44" s="27">
        <v>0</v>
      </c>
      <c r="D44" s="27">
        <v>0</v>
      </c>
      <c r="E44" s="27">
        <v>0</v>
      </c>
      <c r="F44" s="456">
        <f t="shared" si="2"/>
        <v>9.006486490859047</v>
      </c>
      <c r="G44" s="456">
        <f t="shared" si="3"/>
        <v>6.920885679476403</v>
      </c>
      <c r="H44" s="463">
        <f t="shared" si="5"/>
        <v>9.006486490859047</v>
      </c>
      <c r="I44" s="470">
        <f t="shared" si="4"/>
        <v>6.920885679476403</v>
      </c>
      <c r="J44" s="27"/>
    </row>
    <row r="45" spans="1:10" ht="12.75" customHeight="1">
      <c r="A45" s="459" t="s">
        <v>283</v>
      </c>
      <c r="B45" s="27">
        <v>0</v>
      </c>
      <c r="C45" s="27">
        <v>0</v>
      </c>
      <c r="D45" s="27">
        <v>0</v>
      </c>
      <c r="E45" s="27">
        <v>0</v>
      </c>
      <c r="F45" s="456">
        <f t="shared" si="2"/>
        <v>20.191961648861408</v>
      </c>
      <c r="G45" s="456">
        <f t="shared" si="3"/>
        <v>15.516179184632579</v>
      </c>
      <c r="H45" s="463">
        <f t="shared" si="5"/>
        <v>20.191961648861408</v>
      </c>
      <c r="I45" s="470">
        <f t="shared" si="4"/>
        <v>15.516179184632579</v>
      </c>
      <c r="J45" s="27"/>
    </row>
    <row r="46" spans="1:10" ht="12.75" customHeight="1">
      <c r="A46" s="459" t="s">
        <v>288</v>
      </c>
      <c r="B46" s="27">
        <v>0</v>
      </c>
      <c r="C46" s="27">
        <v>0</v>
      </c>
      <c r="D46" s="27">
        <v>0</v>
      </c>
      <c r="E46" s="27">
        <v>0</v>
      </c>
      <c r="F46" s="456">
        <f t="shared" si="2"/>
        <v>10.604411513430811</v>
      </c>
      <c r="G46" s="456">
        <f t="shared" si="3"/>
        <v>8.148784751641571</v>
      </c>
      <c r="H46" s="463">
        <f t="shared" si="5"/>
        <v>10.604411513430811</v>
      </c>
      <c r="I46" s="470">
        <f t="shared" si="4"/>
        <v>8.148784751641571</v>
      </c>
      <c r="J46" s="27"/>
    </row>
    <row r="47" spans="1:10" ht="12.75" customHeight="1">
      <c r="A47" s="459" t="s">
        <v>294</v>
      </c>
      <c r="B47" s="27">
        <v>0</v>
      </c>
      <c r="C47" s="27">
        <v>0</v>
      </c>
      <c r="D47" s="27">
        <v>0</v>
      </c>
      <c r="E47" s="27">
        <v>0</v>
      </c>
      <c r="F47" s="456">
        <f aca="true" t="shared" si="6" ref="F47:G50">C15</f>
        <v>0</v>
      </c>
      <c r="G47" s="456">
        <f t="shared" si="6"/>
        <v>0</v>
      </c>
      <c r="H47" s="463">
        <f t="shared" si="5"/>
        <v>0</v>
      </c>
      <c r="I47" s="470">
        <f t="shared" si="4"/>
        <v>0</v>
      </c>
      <c r="J47" s="27"/>
    </row>
    <row r="48" spans="1:10" ht="12.75" customHeight="1">
      <c r="A48" s="459" t="s">
        <v>300</v>
      </c>
      <c r="B48" s="27">
        <v>0</v>
      </c>
      <c r="C48" s="27">
        <v>0</v>
      </c>
      <c r="D48" s="27">
        <v>0</v>
      </c>
      <c r="E48" s="27">
        <v>0</v>
      </c>
      <c r="F48" s="456">
        <f t="shared" si="6"/>
        <v>9.37874886229928</v>
      </c>
      <c r="G48" s="456">
        <f t="shared" si="6"/>
        <v>7.206944545841605</v>
      </c>
      <c r="H48" s="463">
        <f t="shared" si="5"/>
        <v>9.37874886229928</v>
      </c>
      <c r="I48" s="470">
        <f t="shared" si="4"/>
        <v>7.206944545841605</v>
      </c>
      <c r="J48" s="27"/>
    </row>
    <row r="49" spans="1:10" ht="12.75" customHeight="1">
      <c r="A49" s="459" t="s">
        <v>301</v>
      </c>
      <c r="B49" s="27">
        <v>0</v>
      </c>
      <c r="C49" s="27">
        <v>0</v>
      </c>
      <c r="D49" s="27">
        <v>0</v>
      </c>
      <c r="E49" s="27">
        <v>0</v>
      </c>
      <c r="F49" s="456">
        <f t="shared" si="6"/>
        <v>130</v>
      </c>
      <c r="G49" s="456">
        <f t="shared" si="6"/>
        <v>130</v>
      </c>
      <c r="H49" s="463">
        <f t="shared" si="5"/>
        <v>130</v>
      </c>
      <c r="I49" s="470">
        <f t="shared" si="4"/>
        <v>130</v>
      </c>
      <c r="J49" s="27"/>
    </row>
    <row r="50" spans="1:10" ht="12.75" customHeight="1" thickBot="1">
      <c r="A50" s="460" t="s">
        <v>302</v>
      </c>
      <c r="B50" s="352">
        <v>0</v>
      </c>
      <c r="C50" s="395">
        <v>0</v>
      </c>
      <c r="D50" s="395">
        <v>0</v>
      </c>
      <c r="E50" s="395">
        <v>0</v>
      </c>
      <c r="F50" s="471">
        <f t="shared" si="6"/>
        <v>4.4369</v>
      </c>
      <c r="G50" s="471">
        <f t="shared" si="6"/>
        <v>4.4369</v>
      </c>
      <c r="H50" s="472">
        <f t="shared" si="5"/>
        <v>4.4369</v>
      </c>
      <c r="I50" s="473">
        <f t="shared" si="4"/>
        <v>4.4369</v>
      </c>
      <c r="J50" s="27"/>
    </row>
    <row r="51" spans="1:2" ht="12.75">
      <c r="A51" s="421" t="s">
        <v>409</v>
      </c>
      <c r="B51" s="455">
        <f>(J70/F70)-1</f>
        <v>0.39130434782608714</v>
      </c>
    </row>
    <row r="52" spans="1:2" ht="13.5" thickBot="1">
      <c r="A52" s="422" t="s">
        <v>410</v>
      </c>
      <c r="B52" s="454">
        <f>(K70/J70)-1</f>
        <v>0.4374999999999998</v>
      </c>
    </row>
    <row r="53" spans="1:2" ht="12.75">
      <c r="A53" s="451" t="s">
        <v>411</v>
      </c>
      <c r="B53" s="453">
        <f>(J69/F69)-1</f>
        <v>0.754385964912281</v>
      </c>
    </row>
    <row r="54" spans="1:2" ht="42.75" customHeight="1" thickBot="1">
      <c r="A54" s="452" t="s">
        <v>413</v>
      </c>
      <c r="B54" s="454">
        <f>(K69/F69)-1</f>
        <v>1.2982456140350882</v>
      </c>
    </row>
    <row r="55" spans="1:2" ht="39.75" customHeight="1">
      <c r="A55" s="451" t="s">
        <v>412</v>
      </c>
      <c r="B55" s="455">
        <f>(J64/F64)-1</f>
        <v>0.1380932804332895</v>
      </c>
    </row>
    <row r="56" spans="1:2" ht="27" customHeight="1" thickBot="1">
      <c r="A56" s="452" t="s">
        <v>414</v>
      </c>
      <c r="B56" s="454">
        <f>(K64/F64)-1</f>
        <v>0.25716301834843036</v>
      </c>
    </row>
    <row r="57" spans="1:2" ht="13.5" thickBot="1">
      <c r="A57" s="259"/>
      <c r="B57" s="517"/>
    </row>
    <row r="58" spans="1:11" ht="21" customHeight="1">
      <c r="A58" s="217" t="s">
        <v>48</v>
      </c>
      <c r="B58" s="218" t="s">
        <v>177</v>
      </c>
      <c r="C58" s="218" t="s">
        <v>180</v>
      </c>
      <c r="D58" s="419" t="s">
        <v>366</v>
      </c>
      <c r="E58" s="419" t="s">
        <v>367</v>
      </c>
      <c r="F58" s="218" t="s">
        <v>182</v>
      </c>
      <c r="G58" s="420" t="s">
        <v>178</v>
      </c>
      <c r="H58" s="420" t="s">
        <v>179</v>
      </c>
      <c r="I58" s="218" t="s">
        <v>181</v>
      </c>
      <c r="J58" s="218" t="s">
        <v>183</v>
      </c>
      <c r="K58" s="218" t="s">
        <v>184</v>
      </c>
    </row>
    <row r="59" spans="1:11" ht="12.75">
      <c r="A59" s="220"/>
      <c r="B59" s="221"/>
      <c r="C59" s="221"/>
      <c r="D59" s="418"/>
      <c r="E59" s="418"/>
      <c r="F59" s="221">
        <v>2007</v>
      </c>
      <c r="G59" s="221"/>
      <c r="H59" s="221"/>
      <c r="I59" s="221"/>
      <c r="J59" s="221">
        <v>2020</v>
      </c>
      <c r="K59" s="221">
        <v>2030</v>
      </c>
    </row>
    <row r="60" spans="1:11" ht="12.75">
      <c r="A60" s="227" t="s">
        <v>377</v>
      </c>
      <c r="B60" s="221"/>
      <c r="C60" s="221"/>
      <c r="D60" s="221"/>
      <c r="E60" s="221"/>
      <c r="F60" s="221"/>
      <c r="G60" s="221"/>
      <c r="H60" s="221"/>
      <c r="I60" s="221"/>
      <c r="J60" s="221"/>
      <c r="K60" s="221"/>
    </row>
    <row r="61" spans="1:11" ht="12.75">
      <c r="A61" s="234" t="s">
        <v>378</v>
      </c>
      <c r="B61" s="235" t="s">
        <v>379</v>
      </c>
      <c r="C61" s="235" t="s">
        <v>382</v>
      </c>
      <c r="D61" s="236"/>
      <c r="E61" s="237"/>
      <c r="F61" s="238">
        <v>9</v>
      </c>
      <c r="G61" s="235" t="s">
        <v>380</v>
      </c>
      <c r="H61" s="236" t="s">
        <v>381</v>
      </c>
      <c r="I61" s="435" t="e">
        <f>#REF!</f>
        <v>#REF!</v>
      </c>
      <c r="J61" s="239">
        <f>F61*((1+U3)^13)</f>
        <v>13.216803421064075</v>
      </c>
      <c r="K61" s="239">
        <f>F61*((1+U3)^23)</f>
        <v>17.762278600139435</v>
      </c>
    </row>
    <row r="62" spans="1:11" ht="12.75">
      <c r="A62" s="234" t="s">
        <v>384</v>
      </c>
      <c r="B62" s="235" t="s">
        <v>385</v>
      </c>
      <c r="C62" s="235" t="s">
        <v>388</v>
      </c>
      <c r="D62" s="235"/>
      <c r="E62" s="237"/>
      <c r="F62" s="238">
        <v>46</v>
      </c>
      <c r="G62" s="235" t="s">
        <v>386</v>
      </c>
      <c r="H62" s="235" t="s">
        <v>387</v>
      </c>
      <c r="I62" s="235" t="s">
        <v>389</v>
      </c>
      <c r="J62" s="239">
        <f>F62+((L24/L25)*(J61-F61))</f>
        <v>52.62640537595783</v>
      </c>
      <c r="K62" s="239">
        <f>F62+((L24/L25)*(K61-F61))</f>
        <v>59.76929494307626</v>
      </c>
    </row>
    <row r="63" spans="1:11" ht="38.25">
      <c r="A63" s="234" t="s">
        <v>391</v>
      </c>
      <c r="B63" s="236" t="s">
        <v>392</v>
      </c>
      <c r="C63" s="235" t="s">
        <v>394</v>
      </c>
      <c r="D63" s="235"/>
      <c r="E63" s="237"/>
      <c r="F63" s="238">
        <v>17</v>
      </c>
      <c r="G63" s="235" t="s">
        <v>80</v>
      </c>
      <c r="H63" s="235" t="s">
        <v>393</v>
      </c>
      <c r="I63" s="235" t="s">
        <v>200</v>
      </c>
      <c r="J63" s="238"/>
      <c r="K63" s="238"/>
    </row>
    <row r="64" spans="1:11" ht="12.75">
      <c r="A64" s="234" t="s">
        <v>203</v>
      </c>
      <c r="B64" s="235" t="s">
        <v>204</v>
      </c>
      <c r="C64" s="235" t="s">
        <v>206</v>
      </c>
      <c r="D64" s="248"/>
      <c r="E64" s="237"/>
      <c r="F64" s="238">
        <v>4</v>
      </c>
      <c r="G64" s="235" t="s">
        <v>204</v>
      </c>
      <c r="H64" s="248" t="s">
        <v>205</v>
      </c>
      <c r="I64" s="235" t="s">
        <v>206</v>
      </c>
      <c r="J64" s="239">
        <f>F64*((1+U4)^13)</f>
        <v>4.552373121733158</v>
      </c>
      <c r="K64" s="239">
        <f>F64*((1+U4)^23)</f>
        <v>5.0286520733937214</v>
      </c>
    </row>
    <row r="65" spans="1:11" ht="47.25" customHeight="1">
      <c r="A65" s="234" t="s">
        <v>209</v>
      </c>
      <c r="B65" s="235">
        <v>9.6</v>
      </c>
      <c r="C65" s="249" t="s">
        <v>210</v>
      </c>
      <c r="D65" s="249"/>
      <c r="E65" s="250"/>
      <c r="F65" s="239"/>
      <c r="G65" s="249">
        <f>B65*1.01^13</f>
        <v>10.925695492159578</v>
      </c>
      <c r="H65" s="249" t="s">
        <v>205</v>
      </c>
      <c r="I65" s="249" t="s">
        <v>210</v>
      </c>
      <c r="J65" s="239">
        <f>B65*1.01^23</f>
        <v>12.068764976144932</v>
      </c>
      <c r="K65" s="238"/>
    </row>
    <row r="66" spans="1:11" ht="12.75">
      <c r="A66" s="234" t="s">
        <v>212</v>
      </c>
      <c r="B66" s="235" t="s">
        <v>213</v>
      </c>
      <c r="C66" s="235" t="s">
        <v>215</v>
      </c>
      <c r="D66" s="235"/>
      <c r="E66" s="237"/>
      <c r="F66" s="238"/>
      <c r="G66" s="235">
        <v>5</v>
      </c>
      <c r="H66" s="235" t="s">
        <v>214</v>
      </c>
      <c r="I66" s="236" t="s">
        <v>216</v>
      </c>
      <c r="J66" s="238"/>
      <c r="K66" s="238"/>
    </row>
    <row r="67" spans="1:11" ht="26.25" thickBot="1">
      <c r="A67" s="396" t="s">
        <v>218</v>
      </c>
      <c r="B67" s="397">
        <f>F67</f>
        <v>7.932455433127295</v>
      </c>
      <c r="C67" s="398"/>
      <c r="D67" s="398"/>
      <c r="E67" s="399"/>
      <c r="F67" s="400">
        <f>F70/$H$27</f>
        <v>7.932455433127295</v>
      </c>
      <c r="G67" s="398"/>
      <c r="H67" s="398" t="s">
        <v>219</v>
      </c>
      <c r="I67" s="398"/>
      <c r="J67" s="400">
        <f>J70/$H$27</f>
        <v>11.036459733046673</v>
      </c>
      <c r="K67" s="400">
        <f>K70/$H$27</f>
        <v>15.86491086625459</v>
      </c>
    </row>
    <row r="68" spans="1:11" ht="12.75">
      <c r="A68" s="406" t="s">
        <v>221</v>
      </c>
      <c r="B68" s="407"/>
      <c r="C68" s="407"/>
      <c r="D68" s="407"/>
      <c r="E68" s="407"/>
      <c r="F68" s="409">
        <f>H8*100</f>
        <v>242.4167300503293</v>
      </c>
      <c r="G68" s="407"/>
      <c r="H68" s="407"/>
      <c r="I68" s="408"/>
      <c r="J68" s="409">
        <f>I8*100</f>
        <v>425.2925088602269</v>
      </c>
      <c r="K68" s="410">
        <f>J8*100</f>
        <v>557.1331866068973</v>
      </c>
    </row>
    <row r="69" spans="1:11" ht="12.75">
      <c r="A69" s="411" t="s">
        <v>86</v>
      </c>
      <c r="B69" s="237"/>
      <c r="C69" s="237"/>
      <c r="D69" s="237"/>
      <c r="E69" s="237"/>
      <c r="F69" s="239">
        <f>F68*12/7</f>
        <v>415.57153722913597</v>
      </c>
      <c r="G69" s="237"/>
      <c r="H69" s="237"/>
      <c r="I69" s="238"/>
      <c r="J69" s="239">
        <f>J68*12/7</f>
        <v>729.0728723318176</v>
      </c>
      <c r="K69" s="412">
        <f>K68*12/7</f>
        <v>955.0854627546812</v>
      </c>
    </row>
    <row r="70" spans="1:23" ht="13.5" thickBot="1">
      <c r="A70" s="413" t="s">
        <v>88</v>
      </c>
      <c r="B70" s="414"/>
      <c r="C70" s="414"/>
      <c r="D70" s="414"/>
      <c r="E70" s="414"/>
      <c r="F70" s="416">
        <f>H10</f>
        <v>290.327868852459</v>
      </c>
      <c r="G70" s="414"/>
      <c r="H70" s="414"/>
      <c r="I70" s="415"/>
      <c r="J70" s="416">
        <f>I10</f>
        <v>403.93442622950823</v>
      </c>
      <c r="K70" s="417">
        <f>J10</f>
        <v>580.655737704918</v>
      </c>
      <c r="W70" s="27"/>
    </row>
    <row r="71" spans="1:23" ht="12.75">
      <c r="A71" s="401"/>
      <c r="B71" s="402"/>
      <c r="C71" s="402"/>
      <c r="D71" s="402"/>
      <c r="E71" s="403"/>
      <c r="F71" s="405"/>
      <c r="G71" s="402"/>
      <c r="H71" s="402"/>
      <c r="I71" s="404"/>
      <c r="J71" s="405"/>
      <c r="K71" s="405"/>
      <c r="W71" s="27"/>
    </row>
    <row r="72" spans="1:11" ht="12.75">
      <c r="A72" s="256" t="s">
        <v>14</v>
      </c>
      <c r="B72" s="235"/>
      <c r="C72" s="235"/>
      <c r="D72" s="235"/>
      <c r="E72" s="237"/>
      <c r="F72" s="238"/>
      <c r="G72" s="235"/>
      <c r="H72" s="235"/>
      <c r="I72" s="236"/>
      <c r="J72" s="238"/>
      <c r="K72" s="238"/>
    </row>
    <row r="73" spans="1:11" ht="12.75">
      <c r="A73" s="234" t="s">
        <v>14</v>
      </c>
      <c r="B73" s="235">
        <v>7.4</v>
      </c>
      <c r="C73" s="235" t="s">
        <v>236</v>
      </c>
      <c r="D73" s="235"/>
      <c r="E73" s="237"/>
      <c r="F73" s="238">
        <v>7.2</v>
      </c>
      <c r="G73" s="235">
        <v>6.5</v>
      </c>
      <c r="H73" s="235" t="s">
        <v>235</v>
      </c>
      <c r="I73" s="235" t="s">
        <v>236</v>
      </c>
      <c r="J73" s="238">
        <f>$F73*(1+$U7)^(J59-$F59)</f>
        <v>9.313967739267332</v>
      </c>
      <c r="K73" s="238">
        <f>$F73*(1+$U7)^(K59-$F59)</f>
        <v>11.35367470217806</v>
      </c>
    </row>
    <row r="74" spans="1:11" ht="12.75">
      <c r="A74" s="234"/>
      <c r="B74" s="258"/>
      <c r="C74" s="235"/>
      <c r="D74" s="235"/>
      <c r="E74" s="237"/>
      <c r="F74" s="238"/>
      <c r="G74" s="258"/>
      <c r="H74" s="235"/>
      <c r="I74" s="235"/>
      <c r="J74" s="238"/>
      <c r="K74" s="238"/>
    </row>
    <row r="75" spans="1:11" ht="12.75">
      <c r="A75" s="256" t="s">
        <v>238</v>
      </c>
      <c r="B75" s="258"/>
      <c r="C75" s="235"/>
      <c r="D75" s="235"/>
      <c r="E75" s="237"/>
      <c r="F75" s="238"/>
      <c r="G75" s="258"/>
      <c r="H75" s="235"/>
      <c r="I75" s="235"/>
      <c r="J75" s="238"/>
      <c r="K75" s="238"/>
    </row>
    <row r="76" spans="1:11" ht="12.75">
      <c r="A76" s="234" t="s">
        <v>239</v>
      </c>
      <c r="B76" s="236" t="s">
        <v>439</v>
      </c>
      <c r="C76" s="235" t="s">
        <v>439</v>
      </c>
      <c r="D76" s="235"/>
      <c r="E76" s="237"/>
      <c r="F76" s="238"/>
      <c r="G76" s="235"/>
      <c r="H76" s="235">
        <v>0</v>
      </c>
      <c r="I76" s="235"/>
      <c r="J76" s="238"/>
      <c r="K76" s="238"/>
    </row>
    <row r="77" spans="1:11" ht="12.75">
      <c r="A77" s="234" t="s">
        <v>440</v>
      </c>
      <c r="B77" s="235" t="s">
        <v>441</v>
      </c>
      <c r="C77" s="236" t="s">
        <v>443</v>
      </c>
      <c r="D77" s="235">
        <v>16</v>
      </c>
      <c r="E77" s="260" t="s">
        <v>444</v>
      </c>
      <c r="F77" s="238">
        <f>F99</f>
        <v>40</v>
      </c>
      <c r="G77" s="236" t="s">
        <v>442</v>
      </c>
      <c r="H77" s="235">
        <v>1</v>
      </c>
      <c r="I77" s="236" t="s">
        <v>445</v>
      </c>
      <c r="J77" s="239">
        <f>J99</f>
        <v>9.37874886229928</v>
      </c>
      <c r="K77" s="239">
        <f>F16</f>
        <v>7.206944545841605</v>
      </c>
    </row>
    <row r="78" spans="1:19" ht="12.75">
      <c r="A78" s="234"/>
      <c r="B78" s="235"/>
      <c r="C78" s="236"/>
      <c r="D78" s="235"/>
      <c r="E78" s="260"/>
      <c r="F78" s="238"/>
      <c r="G78" s="236"/>
      <c r="H78" s="235"/>
      <c r="I78" s="236"/>
      <c r="J78" s="238"/>
      <c r="K78" s="238"/>
      <c r="S78" s="27"/>
    </row>
    <row r="79" spans="1:19" ht="12.75">
      <c r="A79" s="256" t="s">
        <v>446</v>
      </c>
      <c r="B79" s="235"/>
      <c r="C79" s="236"/>
      <c r="D79" s="235"/>
      <c r="E79" s="260"/>
      <c r="F79" s="238"/>
      <c r="G79" s="236"/>
      <c r="H79" s="235"/>
      <c r="I79" s="236"/>
      <c r="J79" s="238"/>
      <c r="K79" s="238"/>
      <c r="S79" s="27"/>
    </row>
    <row r="80" spans="1:19" ht="12.75">
      <c r="A80" s="234" t="s">
        <v>244</v>
      </c>
      <c r="B80" s="235"/>
      <c r="C80" s="262"/>
      <c r="D80" s="235"/>
      <c r="E80" s="263"/>
      <c r="F80" s="264">
        <v>4.35</v>
      </c>
      <c r="G80" s="262"/>
      <c r="H80" s="235"/>
      <c r="I80" s="262"/>
      <c r="J80" s="264">
        <v>4.35</v>
      </c>
      <c r="K80" s="264">
        <v>4.35</v>
      </c>
      <c r="S80" s="27"/>
    </row>
    <row r="81" spans="1:19" ht="13.5" thickBot="1">
      <c r="A81" s="396" t="s">
        <v>245</v>
      </c>
      <c r="B81" s="398"/>
      <c r="C81" s="423"/>
      <c r="D81" s="398"/>
      <c r="E81" s="424"/>
      <c r="F81" s="425">
        <v>1.85</v>
      </c>
      <c r="G81" s="423"/>
      <c r="H81" s="398"/>
      <c r="I81" s="423"/>
      <c r="J81" s="425">
        <v>1.85</v>
      </c>
      <c r="K81" s="425">
        <v>1.85</v>
      </c>
      <c r="S81" s="27"/>
    </row>
    <row r="82" spans="1:19" ht="64.5" thickBot="1">
      <c r="A82" s="429" t="s">
        <v>48</v>
      </c>
      <c r="B82" s="430" t="s">
        <v>177</v>
      </c>
      <c r="C82" s="430" t="s">
        <v>180</v>
      </c>
      <c r="D82" s="431" t="s">
        <v>366</v>
      </c>
      <c r="E82" s="431" t="s">
        <v>367</v>
      </c>
      <c r="F82" s="430" t="s">
        <v>182</v>
      </c>
      <c r="G82" s="431" t="s">
        <v>178</v>
      </c>
      <c r="H82" s="432" t="s">
        <v>179</v>
      </c>
      <c r="I82" s="430" t="s">
        <v>181</v>
      </c>
      <c r="J82" s="434" t="s">
        <v>370</v>
      </c>
      <c r="K82" s="430" t="s">
        <v>184</v>
      </c>
      <c r="S82" s="27"/>
    </row>
    <row r="83" spans="1:19" ht="12.75">
      <c r="A83" s="426"/>
      <c r="B83" s="427"/>
      <c r="C83" s="427"/>
      <c r="D83" s="428"/>
      <c r="E83" s="428"/>
      <c r="F83" s="427">
        <v>2007</v>
      </c>
      <c r="G83" s="427"/>
      <c r="H83" s="427"/>
      <c r="I83" s="427"/>
      <c r="J83" s="427">
        <v>2020</v>
      </c>
      <c r="K83" s="701">
        <v>2030</v>
      </c>
      <c r="S83" s="27"/>
    </row>
    <row r="84" spans="1:19" ht="12.75">
      <c r="A84" s="234"/>
      <c r="B84" s="235"/>
      <c r="C84" s="262"/>
      <c r="D84" s="235"/>
      <c r="E84" s="263"/>
      <c r="F84" s="264"/>
      <c r="G84" s="262"/>
      <c r="H84" s="235"/>
      <c r="I84" s="262"/>
      <c r="J84" s="264"/>
      <c r="K84" s="702"/>
      <c r="S84" s="27"/>
    </row>
    <row r="85" spans="1:19" ht="12.75">
      <c r="A85" s="256" t="s">
        <v>246</v>
      </c>
      <c r="B85" s="235"/>
      <c r="C85" s="262"/>
      <c r="D85" s="235"/>
      <c r="E85" s="263"/>
      <c r="F85" s="238"/>
      <c r="G85" s="262"/>
      <c r="H85" s="235"/>
      <c r="I85" s="262"/>
      <c r="J85" s="238"/>
      <c r="K85" s="703"/>
      <c r="S85" s="27"/>
    </row>
    <row r="86" spans="1:19" ht="12.75">
      <c r="A86" s="234" t="s">
        <v>247</v>
      </c>
      <c r="B86" s="235"/>
      <c r="C86" s="262"/>
      <c r="D86" s="235"/>
      <c r="E86" s="263"/>
      <c r="F86" s="238">
        <f>B3</f>
        <v>11.95</v>
      </c>
      <c r="G86" s="262"/>
      <c r="H86" s="235"/>
      <c r="I86" s="262"/>
      <c r="J86" s="239">
        <f aca="true" t="shared" si="7" ref="J86:J101">H35</f>
        <v>11.95</v>
      </c>
      <c r="K86" s="704">
        <v>11.95</v>
      </c>
      <c r="S86" s="27"/>
    </row>
    <row r="87" spans="1:19" ht="12.75">
      <c r="A87" s="234" t="s">
        <v>248</v>
      </c>
      <c r="B87" s="258">
        <v>6</v>
      </c>
      <c r="C87" s="235" t="s">
        <v>249</v>
      </c>
      <c r="D87" s="235"/>
      <c r="E87" s="237"/>
      <c r="F87" s="238">
        <f>B4</f>
        <v>4.6</v>
      </c>
      <c r="G87" s="258">
        <v>6</v>
      </c>
      <c r="H87" s="435" t="s">
        <v>249</v>
      </c>
      <c r="I87" s="235" t="s">
        <v>249</v>
      </c>
      <c r="J87" s="239">
        <f t="shared" si="7"/>
        <v>4.6</v>
      </c>
      <c r="K87" s="704">
        <v>4.6</v>
      </c>
      <c r="S87" s="27"/>
    </row>
    <row r="88" spans="1:19" ht="12.75">
      <c r="A88" s="234" t="s">
        <v>250</v>
      </c>
      <c r="B88" s="258"/>
      <c r="C88" s="235"/>
      <c r="D88" s="235"/>
      <c r="E88" s="237"/>
      <c r="F88" s="238"/>
      <c r="G88" s="258"/>
      <c r="H88" s="235"/>
      <c r="I88" s="235"/>
      <c r="J88" s="239">
        <f t="shared" si="7"/>
        <v>4.4</v>
      </c>
      <c r="K88" s="704"/>
      <c r="S88" s="27"/>
    </row>
    <row r="89" spans="1:19" ht="12.75">
      <c r="A89" s="234" t="s">
        <v>251</v>
      </c>
      <c r="B89" s="235">
        <v>8</v>
      </c>
      <c r="C89" s="262" t="s">
        <v>254</v>
      </c>
      <c r="D89" s="235" t="s">
        <v>253</v>
      </c>
      <c r="E89" s="237" t="s">
        <v>255</v>
      </c>
      <c r="F89" s="238">
        <f aca="true" t="shared" si="8" ref="F89:F99">B6</f>
        <v>10.7</v>
      </c>
      <c r="G89" s="235"/>
      <c r="H89" s="235" t="s">
        <v>252</v>
      </c>
      <c r="I89" s="235"/>
      <c r="J89" s="239">
        <f t="shared" si="7"/>
        <v>7</v>
      </c>
      <c r="K89" s="704">
        <v>6</v>
      </c>
      <c r="S89" s="27"/>
    </row>
    <row r="90" spans="1:19" ht="12.75">
      <c r="A90" s="234" t="s">
        <v>256</v>
      </c>
      <c r="B90" s="235">
        <v>13</v>
      </c>
      <c r="C90" s="235" t="s">
        <v>257</v>
      </c>
      <c r="D90" s="235" t="s">
        <v>253</v>
      </c>
      <c r="E90" s="237" t="s">
        <v>258</v>
      </c>
      <c r="F90" s="238">
        <f t="shared" si="8"/>
        <v>7.1</v>
      </c>
      <c r="G90" s="235"/>
      <c r="H90" s="235" t="s">
        <v>252</v>
      </c>
      <c r="I90" s="235"/>
      <c r="J90" s="239">
        <f t="shared" si="7"/>
        <v>7.1</v>
      </c>
      <c r="K90" s="704">
        <v>7.1</v>
      </c>
      <c r="S90" s="27"/>
    </row>
    <row r="91" spans="1:19" ht="12.75">
      <c r="A91" s="234" t="s">
        <v>8</v>
      </c>
      <c r="B91" s="235" t="s">
        <v>259</v>
      </c>
      <c r="C91" s="262" t="s">
        <v>260</v>
      </c>
      <c r="D91" s="235">
        <v>1.9</v>
      </c>
      <c r="E91" s="237" t="s">
        <v>261</v>
      </c>
      <c r="F91" s="238">
        <f t="shared" si="8"/>
        <v>6.6</v>
      </c>
      <c r="G91" s="235"/>
      <c r="H91" s="235">
        <v>0.5</v>
      </c>
      <c r="I91" s="235"/>
      <c r="J91" s="239">
        <f t="shared" si="7"/>
        <v>5.5</v>
      </c>
      <c r="K91" s="704">
        <v>4.5</v>
      </c>
      <c r="S91" s="27"/>
    </row>
    <row r="92" spans="1:19" ht="12.75">
      <c r="A92" s="234" t="s">
        <v>262</v>
      </c>
      <c r="B92" s="235" t="s">
        <v>263</v>
      </c>
      <c r="C92" s="262" t="s">
        <v>266</v>
      </c>
      <c r="D92" s="235">
        <v>1.9</v>
      </c>
      <c r="E92" s="262" t="s">
        <v>267</v>
      </c>
      <c r="F92" s="238">
        <f t="shared" si="8"/>
        <v>6.6</v>
      </c>
      <c r="G92" s="235" t="s">
        <v>264</v>
      </c>
      <c r="H92" s="235" t="s">
        <v>265</v>
      </c>
      <c r="I92" s="235" t="s">
        <v>268</v>
      </c>
      <c r="J92" s="239">
        <f t="shared" si="7"/>
        <v>6</v>
      </c>
      <c r="K92" s="704">
        <v>6</v>
      </c>
      <c r="S92" s="27"/>
    </row>
    <row r="93" spans="1:19" ht="12.75">
      <c r="A93" s="234" t="s">
        <v>269</v>
      </c>
      <c r="B93" s="235" t="s">
        <v>270</v>
      </c>
      <c r="C93" s="262" t="s">
        <v>272</v>
      </c>
      <c r="D93" s="235">
        <v>1.9</v>
      </c>
      <c r="E93" s="262" t="s">
        <v>273</v>
      </c>
      <c r="F93" s="238">
        <f t="shared" si="8"/>
        <v>11</v>
      </c>
      <c r="G93" s="235" t="s">
        <v>271</v>
      </c>
      <c r="H93" s="235" t="s">
        <v>265</v>
      </c>
      <c r="I93" s="235" t="s">
        <v>274</v>
      </c>
      <c r="J93" s="239">
        <f t="shared" si="7"/>
        <v>10</v>
      </c>
      <c r="K93" s="704">
        <v>10</v>
      </c>
      <c r="S93" s="27"/>
    </row>
    <row r="94" spans="1:19" ht="12.75">
      <c r="A94" s="234" t="s">
        <v>275</v>
      </c>
      <c r="B94" s="235" t="s">
        <v>276</v>
      </c>
      <c r="C94" s="262" t="s">
        <v>276</v>
      </c>
      <c r="D94" s="235">
        <v>1.9</v>
      </c>
      <c r="E94" s="237" t="s">
        <v>277</v>
      </c>
      <c r="F94" s="238">
        <f t="shared" si="8"/>
        <v>11</v>
      </c>
      <c r="G94" s="433" t="s">
        <v>369</v>
      </c>
      <c r="H94" s="235" t="s">
        <v>80</v>
      </c>
      <c r="I94" s="262" t="s">
        <v>442</v>
      </c>
      <c r="J94" s="239">
        <f t="shared" si="7"/>
        <v>6</v>
      </c>
      <c r="K94" s="704">
        <v>6</v>
      </c>
      <c r="S94" s="27"/>
    </row>
    <row r="95" spans="1:19" ht="12.75">
      <c r="A95" s="234" t="s">
        <v>278</v>
      </c>
      <c r="B95" s="235" t="s">
        <v>279</v>
      </c>
      <c r="C95" s="235" t="s">
        <v>280</v>
      </c>
      <c r="D95" s="235">
        <v>1.9</v>
      </c>
      <c r="E95" s="237" t="s">
        <v>281</v>
      </c>
      <c r="F95" s="238">
        <f t="shared" si="8"/>
        <v>18.6</v>
      </c>
      <c r="G95" s="433" t="s">
        <v>368</v>
      </c>
      <c r="H95" s="235">
        <v>1.5</v>
      </c>
      <c r="I95" s="235" t="s">
        <v>282</v>
      </c>
      <c r="J95" s="239">
        <f t="shared" si="7"/>
        <v>9.006486490859047</v>
      </c>
      <c r="K95" s="704">
        <v>6.920885679476401</v>
      </c>
      <c r="S95" s="27"/>
    </row>
    <row r="96" spans="1:19" ht="12.75">
      <c r="A96" s="234" t="s">
        <v>283</v>
      </c>
      <c r="B96" s="267" t="s">
        <v>284</v>
      </c>
      <c r="C96" s="235" t="s">
        <v>286</v>
      </c>
      <c r="D96" s="235">
        <v>1.9</v>
      </c>
      <c r="E96" s="237" t="s">
        <v>287</v>
      </c>
      <c r="F96" s="238">
        <f t="shared" si="8"/>
        <v>41.7</v>
      </c>
      <c r="G96" s="267" t="s">
        <v>285</v>
      </c>
      <c r="H96" s="235">
        <v>1.5</v>
      </c>
      <c r="I96" s="267">
        <v>9.6</v>
      </c>
      <c r="J96" s="239">
        <f t="shared" si="7"/>
        <v>20.191961648861408</v>
      </c>
      <c r="K96" s="704">
        <v>15.516179184632577</v>
      </c>
      <c r="S96" s="27"/>
    </row>
    <row r="97" spans="1:19" ht="12.75">
      <c r="A97" s="234" t="s">
        <v>288</v>
      </c>
      <c r="B97" s="267" t="s">
        <v>289</v>
      </c>
      <c r="C97" s="235" t="s">
        <v>291</v>
      </c>
      <c r="D97" s="235">
        <v>1.9</v>
      </c>
      <c r="E97" s="237" t="s">
        <v>292</v>
      </c>
      <c r="F97" s="238">
        <f t="shared" si="8"/>
        <v>21.9</v>
      </c>
      <c r="G97" s="267" t="s">
        <v>290</v>
      </c>
      <c r="H97" s="235">
        <v>1.5</v>
      </c>
      <c r="I97" s="267" t="s">
        <v>293</v>
      </c>
      <c r="J97" s="239">
        <f t="shared" si="7"/>
        <v>10.604411513430811</v>
      </c>
      <c r="K97" s="704">
        <v>8.14878475164157</v>
      </c>
      <c r="S97" s="27"/>
    </row>
    <row r="98" spans="1:19" ht="12.75">
      <c r="A98" s="234" t="s">
        <v>294</v>
      </c>
      <c r="B98" s="269" t="s">
        <v>295</v>
      </c>
      <c r="C98" s="235" t="s">
        <v>297</v>
      </c>
      <c r="D98" s="235">
        <v>1.9</v>
      </c>
      <c r="E98" s="237" t="s">
        <v>298</v>
      </c>
      <c r="F98" s="238">
        <f t="shared" si="8"/>
        <v>0</v>
      </c>
      <c r="G98" s="267" t="s">
        <v>296</v>
      </c>
      <c r="H98" s="235">
        <v>1.5</v>
      </c>
      <c r="I98" s="267" t="s">
        <v>299</v>
      </c>
      <c r="J98" s="239">
        <f t="shared" si="7"/>
        <v>0</v>
      </c>
      <c r="K98" s="704">
        <v>0</v>
      </c>
      <c r="S98" s="27"/>
    </row>
    <row r="99" spans="1:19" ht="12.75">
      <c r="A99" s="234" t="s">
        <v>300</v>
      </c>
      <c r="B99" s="270">
        <v>39.63</v>
      </c>
      <c r="C99" s="235"/>
      <c r="D99" s="235"/>
      <c r="E99" s="237"/>
      <c r="F99" s="238">
        <f t="shared" si="8"/>
        <v>40</v>
      </c>
      <c r="G99" s="267"/>
      <c r="H99" s="235"/>
      <c r="I99" s="267"/>
      <c r="J99" s="239">
        <f t="shared" si="7"/>
        <v>9.37874886229928</v>
      </c>
      <c r="K99" s="704">
        <v>7.206944545841605</v>
      </c>
      <c r="S99" s="27"/>
    </row>
    <row r="100" spans="1:19" ht="25.5">
      <c r="A100" s="234" t="s">
        <v>301</v>
      </c>
      <c r="B100" s="237"/>
      <c r="C100" s="237"/>
      <c r="D100" s="237"/>
      <c r="E100" s="237"/>
      <c r="F100" s="264">
        <f>130</f>
        <v>130</v>
      </c>
      <c r="G100" s="237"/>
      <c r="H100" s="237"/>
      <c r="I100" s="238"/>
      <c r="J100" s="239">
        <f t="shared" si="7"/>
        <v>130</v>
      </c>
      <c r="K100" s="704">
        <v>130</v>
      </c>
      <c r="S100" s="27"/>
    </row>
    <row r="101" spans="1:19" ht="26.25" thickBot="1">
      <c r="A101" s="271" t="s">
        <v>302</v>
      </c>
      <c r="B101" s="272"/>
      <c r="C101" s="273"/>
      <c r="D101" s="273"/>
      <c r="E101" s="272"/>
      <c r="F101" s="273">
        <f>F100*H18</f>
        <v>4.4369000000000005</v>
      </c>
      <c r="G101" s="272"/>
      <c r="H101" s="273"/>
      <c r="I101" s="273"/>
      <c r="J101" s="239">
        <f t="shared" si="7"/>
        <v>4.4369</v>
      </c>
      <c r="K101" s="705">
        <v>4.4369</v>
      </c>
      <c r="S101" s="27"/>
    </row>
    <row r="102" spans="3:19" ht="12.75">
      <c r="C102" s="25"/>
      <c r="H102" s="25"/>
      <c r="I102" s="27"/>
      <c r="S102" s="27"/>
    </row>
    <row r="103" ht="12.75">
      <c r="S103" s="27"/>
    </row>
    <row r="104" ht="12.75">
      <c r="S104" s="27"/>
    </row>
    <row r="105" ht="12.75">
      <c r="S105" s="27"/>
    </row>
    <row r="106" ht="12.75">
      <c r="S106" s="27"/>
    </row>
    <row r="107" ht="12.75">
      <c r="S107" s="27"/>
    </row>
    <row r="108" ht="12.75">
      <c r="S108" s="27"/>
    </row>
    <row r="109" ht="12.75">
      <c r="S109" s="27"/>
    </row>
    <row r="110" ht="12.75">
      <c r="S110" s="27"/>
    </row>
    <row r="111" ht="12.75">
      <c r="S111" s="27"/>
    </row>
    <row r="112" ht="12.75">
      <c r="S112" s="27"/>
    </row>
    <row r="113" ht="12.75">
      <c r="S113" s="27"/>
    </row>
    <row r="114" ht="12.75">
      <c r="S114" s="27"/>
    </row>
    <row r="115" ht="12.75">
      <c r="S115" s="27"/>
    </row>
    <row r="116" ht="12.75">
      <c r="S116" s="27"/>
    </row>
    <row r="117" ht="12.75">
      <c r="S117" s="27"/>
    </row>
    <row r="118" ht="12.75">
      <c r="S118" s="27"/>
    </row>
    <row r="119" ht="12.75">
      <c r="S119" s="27"/>
    </row>
    <row r="120" ht="12.75">
      <c r="S120" s="27"/>
    </row>
    <row r="121" ht="12.75">
      <c r="S121" s="27"/>
    </row>
    <row r="122" ht="12.75">
      <c r="S122" s="27"/>
    </row>
    <row r="123" ht="12.75">
      <c r="S123" s="27"/>
    </row>
    <row r="124" ht="12.75">
      <c r="S124" s="27"/>
    </row>
    <row r="125" ht="12.75">
      <c r="S125" s="27"/>
    </row>
    <row r="126" ht="12.75">
      <c r="S126" s="27"/>
    </row>
    <row r="127" ht="12.75">
      <c r="S127" s="27"/>
    </row>
    <row r="128" ht="12.75">
      <c r="S128" s="27"/>
    </row>
    <row r="129" ht="12.75">
      <c r="S129" s="27"/>
    </row>
    <row r="130" ht="12.75">
      <c r="S130" s="27"/>
    </row>
    <row r="131" ht="12.75">
      <c r="S131" s="27"/>
    </row>
    <row r="132" ht="12.75">
      <c r="S132" s="27"/>
    </row>
    <row r="133" ht="12.75">
      <c r="S133" s="27"/>
    </row>
    <row r="134" ht="12.75">
      <c r="S134" s="27"/>
    </row>
    <row r="135" ht="12.75">
      <c r="S135" s="27"/>
    </row>
    <row r="136" ht="12.75">
      <c r="S136" s="27"/>
    </row>
    <row r="137" ht="12.75">
      <c r="S137" s="27"/>
    </row>
    <row r="138" ht="12.75">
      <c r="S138" s="27"/>
    </row>
    <row r="139" ht="12.75">
      <c r="S139" s="27"/>
    </row>
    <row r="140" ht="12.75">
      <c r="S140" s="27"/>
    </row>
    <row r="141" ht="12.75">
      <c r="S141" s="27"/>
    </row>
    <row r="142" ht="12.75">
      <c r="S142" s="27"/>
    </row>
    <row r="143" ht="12.75">
      <c r="S143" s="27"/>
    </row>
    <row r="144" ht="12.75">
      <c r="S144" s="27"/>
    </row>
    <row r="145" ht="12.75">
      <c r="S145" s="27"/>
    </row>
    <row r="146" ht="12.75">
      <c r="S146" s="27"/>
    </row>
    <row r="147" ht="12.75">
      <c r="S147" s="27"/>
    </row>
    <row r="148" ht="12.75">
      <c r="S148" s="27"/>
    </row>
    <row r="149" ht="12.75">
      <c r="S149" s="27"/>
    </row>
    <row r="150" ht="12.75">
      <c r="S150" s="27"/>
    </row>
    <row r="151" ht="12.75">
      <c r="S151" s="27"/>
    </row>
    <row r="152" ht="12.75">
      <c r="S152" s="27"/>
    </row>
    <row r="153" ht="12.75">
      <c r="S153" s="27"/>
    </row>
    <row r="154" ht="12.75">
      <c r="S154" s="27"/>
    </row>
    <row r="155" ht="12.75">
      <c r="S155" s="27"/>
    </row>
    <row r="156" ht="12.75">
      <c r="S156" s="27"/>
    </row>
    <row r="157" ht="12.75">
      <c r="S157" s="27"/>
    </row>
    <row r="158" ht="12.75">
      <c r="S158" s="27"/>
    </row>
    <row r="159" ht="12.75">
      <c r="S159" s="27"/>
    </row>
    <row r="160" ht="12.75">
      <c r="S160" s="27"/>
    </row>
    <row r="161" ht="12.75">
      <c r="S161" s="27"/>
    </row>
    <row r="162" ht="12.75">
      <c r="S162" s="27"/>
    </row>
    <row r="163" ht="12.75">
      <c r="S163" s="27"/>
    </row>
    <row r="164" ht="12.75">
      <c r="S164" s="27"/>
    </row>
    <row r="165" ht="12.75">
      <c r="S165" s="27"/>
    </row>
    <row r="166" ht="12.75">
      <c r="S166" s="27"/>
    </row>
    <row r="167" ht="12.75">
      <c r="S167" s="27"/>
    </row>
    <row r="168" ht="12.75">
      <c r="S168" s="27"/>
    </row>
    <row r="169" ht="12.75">
      <c r="S169" s="27"/>
    </row>
    <row r="170" ht="12.75">
      <c r="S170" s="27"/>
    </row>
    <row r="171" ht="12.75">
      <c r="S171" s="27"/>
    </row>
    <row r="172" ht="12.75">
      <c r="S172" s="27"/>
    </row>
    <row r="173" ht="12.75">
      <c r="S173" s="27"/>
    </row>
    <row r="174" ht="12.75">
      <c r="S174" s="27"/>
    </row>
    <row r="175" ht="12.75">
      <c r="S175" s="27"/>
    </row>
    <row r="176" ht="12.75">
      <c r="S176" s="27"/>
    </row>
    <row r="177" ht="12.75">
      <c r="S177" s="27"/>
    </row>
    <row r="178" ht="12.75">
      <c r="S178" s="27"/>
    </row>
    <row r="179" ht="12.75">
      <c r="S179" s="27"/>
    </row>
    <row r="180" ht="12.75">
      <c r="S180" s="27"/>
    </row>
    <row r="181" ht="12.75">
      <c r="S181" s="27"/>
    </row>
    <row r="182" ht="12.75">
      <c r="S182" s="27"/>
    </row>
    <row r="183" ht="12.75">
      <c r="S183" s="27"/>
    </row>
    <row r="184" ht="12.75">
      <c r="S184" s="27"/>
    </row>
    <row r="185" ht="12.75">
      <c r="S185" s="27"/>
    </row>
    <row r="186" ht="12.75">
      <c r="S186" s="27"/>
    </row>
    <row r="187" ht="12.75">
      <c r="S187" s="27"/>
    </row>
    <row r="188" ht="12.75">
      <c r="S188" s="27"/>
    </row>
    <row r="189" ht="12.75">
      <c r="S189" s="27"/>
    </row>
    <row r="190" ht="12.75">
      <c r="S190" s="27"/>
    </row>
    <row r="191" ht="12.75">
      <c r="S191" s="27"/>
    </row>
    <row r="192" ht="12.75">
      <c r="S192" s="27"/>
    </row>
    <row r="193" ht="12.75">
      <c r="S193" s="27"/>
    </row>
    <row r="194" ht="12.75">
      <c r="S194" s="27"/>
    </row>
    <row r="195" ht="12.75">
      <c r="S195" s="27"/>
    </row>
    <row r="196" ht="12.75">
      <c r="S196" s="27"/>
    </row>
    <row r="197" ht="12.75">
      <c r="S197" s="27"/>
    </row>
    <row r="198" ht="12.75">
      <c r="S198" s="27"/>
    </row>
    <row r="199" ht="12.75">
      <c r="S199" s="27"/>
    </row>
    <row r="200" ht="12.75">
      <c r="S200" s="27"/>
    </row>
    <row r="201" ht="12.75">
      <c r="S201" s="27"/>
    </row>
    <row r="202" ht="12.75">
      <c r="S202" s="27"/>
    </row>
    <row r="203" ht="12.75">
      <c r="S203" s="27"/>
    </row>
    <row r="204" ht="12.75">
      <c r="S204" s="27"/>
    </row>
    <row r="205" ht="12.75">
      <c r="S205" s="27"/>
    </row>
    <row r="206" ht="12.75">
      <c r="S206" s="27"/>
    </row>
    <row r="207" ht="12.75">
      <c r="S207" s="27"/>
    </row>
    <row r="208" ht="12.75">
      <c r="S208" s="27"/>
    </row>
    <row r="209" ht="12.75">
      <c r="S209" s="27"/>
    </row>
    <row r="210" ht="12.75">
      <c r="S210" s="27"/>
    </row>
    <row r="211" ht="12.75">
      <c r="S211" s="27"/>
    </row>
    <row r="212" ht="12.75">
      <c r="S212" s="27"/>
    </row>
    <row r="213" ht="12.75">
      <c r="S213" s="27"/>
    </row>
    <row r="214" ht="12.75">
      <c r="S214" s="27"/>
    </row>
    <row r="215" ht="12.75">
      <c r="S215" s="27"/>
    </row>
    <row r="216" ht="12.75">
      <c r="S216" s="27"/>
    </row>
    <row r="217" ht="12.75">
      <c r="S217" s="27"/>
    </row>
    <row r="218" ht="12.75">
      <c r="S218" s="27"/>
    </row>
    <row r="219" ht="12.75">
      <c r="S219" s="27"/>
    </row>
    <row r="220" ht="12.75">
      <c r="S220" s="27"/>
    </row>
    <row r="221" ht="12.75">
      <c r="S221" s="27"/>
    </row>
    <row r="222" ht="12.75">
      <c r="S222" s="27"/>
    </row>
    <row r="223" ht="12.75">
      <c r="S223" s="27"/>
    </row>
    <row r="224" ht="12.75">
      <c r="S224" s="27"/>
    </row>
    <row r="225" ht="12.75">
      <c r="S225" s="27"/>
    </row>
    <row r="226" ht="12.75">
      <c r="S226" s="27"/>
    </row>
    <row r="227" ht="12.75">
      <c r="S227" s="27"/>
    </row>
    <row r="228" ht="12.75">
      <c r="S228" s="27"/>
    </row>
    <row r="229" ht="12.75">
      <c r="S229" s="27"/>
    </row>
    <row r="230" ht="12.75">
      <c r="S230" s="27"/>
    </row>
    <row r="231" ht="12.75">
      <c r="S231" s="27"/>
    </row>
    <row r="232" ht="12.75">
      <c r="S232" s="27"/>
    </row>
    <row r="233" ht="12.75">
      <c r="S233" s="27"/>
    </row>
    <row r="234" ht="12.75">
      <c r="S234" s="27"/>
    </row>
    <row r="235" ht="12.75">
      <c r="S235" s="27"/>
    </row>
    <row r="236" ht="12.75">
      <c r="S236" s="27"/>
    </row>
    <row r="237" ht="12.75">
      <c r="S237" s="27"/>
    </row>
    <row r="238" ht="12.75">
      <c r="S238" s="27"/>
    </row>
    <row r="239" ht="12.75">
      <c r="S239" s="27"/>
    </row>
    <row r="240" ht="12.75">
      <c r="S240" s="27"/>
    </row>
    <row r="241" ht="12.75">
      <c r="S241" s="27"/>
    </row>
    <row r="242" ht="12.75">
      <c r="S242" s="27"/>
    </row>
    <row r="243" ht="12.75">
      <c r="S243" s="27"/>
    </row>
    <row r="244" ht="12.75">
      <c r="S244" s="27"/>
    </row>
    <row r="245" ht="12.75">
      <c r="S245" s="27"/>
    </row>
    <row r="246" ht="12.75">
      <c r="S246" s="27"/>
    </row>
    <row r="247" ht="12.75">
      <c r="S247" s="27"/>
    </row>
    <row r="248" ht="12.75">
      <c r="S248" s="27"/>
    </row>
    <row r="249" ht="12.75">
      <c r="S249" s="27"/>
    </row>
    <row r="250" ht="12.75">
      <c r="S250" s="27"/>
    </row>
    <row r="251" ht="12.75">
      <c r="S251" s="27"/>
    </row>
    <row r="252" ht="12.75">
      <c r="S252" s="27"/>
    </row>
    <row r="253" ht="12.75">
      <c r="S253" s="27"/>
    </row>
    <row r="254" ht="12.75">
      <c r="S254" s="27"/>
    </row>
    <row r="255" ht="12.75">
      <c r="S255" s="27"/>
    </row>
    <row r="256" ht="12.75">
      <c r="S256" s="27"/>
    </row>
    <row r="257" ht="12.75">
      <c r="S257" s="27"/>
    </row>
    <row r="258" ht="12.75">
      <c r="S258" s="27"/>
    </row>
    <row r="259" ht="12.75">
      <c r="S259" s="27"/>
    </row>
    <row r="260" ht="12.75">
      <c r="S260" s="27"/>
    </row>
    <row r="261" ht="12.75">
      <c r="S261" s="27"/>
    </row>
    <row r="262" ht="12.75">
      <c r="S262" s="27"/>
    </row>
    <row r="263" ht="12.75">
      <c r="S263" s="27"/>
    </row>
    <row r="264" ht="12.75">
      <c r="S264" s="27"/>
    </row>
    <row r="265" ht="12.75">
      <c r="S265" s="27"/>
    </row>
    <row r="266" ht="12.75">
      <c r="S266" s="27"/>
    </row>
    <row r="267" ht="12.75">
      <c r="S267" s="27"/>
    </row>
    <row r="268" ht="12.75">
      <c r="S268" s="27"/>
    </row>
    <row r="269" ht="12.75">
      <c r="S269" s="27"/>
    </row>
    <row r="270" ht="12.75">
      <c r="S270" s="27"/>
    </row>
    <row r="271" ht="12.75">
      <c r="S271" s="27"/>
    </row>
    <row r="272" ht="12.75">
      <c r="S272" s="27"/>
    </row>
    <row r="273" ht="12.75">
      <c r="S273" s="27"/>
    </row>
    <row r="274" ht="12.75">
      <c r="S274" s="27"/>
    </row>
    <row r="275" ht="12.75">
      <c r="S275" s="27"/>
    </row>
    <row r="276" ht="12.75">
      <c r="S276" s="27"/>
    </row>
    <row r="277" ht="12.75">
      <c r="S277" s="27"/>
    </row>
    <row r="278" ht="12.75">
      <c r="S278" s="27"/>
    </row>
    <row r="279" ht="12.75">
      <c r="S279" s="27"/>
    </row>
    <row r="280" ht="12.75">
      <c r="S280" s="27"/>
    </row>
    <row r="281" ht="12.75">
      <c r="S281" s="27"/>
    </row>
    <row r="282" ht="12.75">
      <c r="S282" s="27"/>
    </row>
    <row r="283" ht="12.75">
      <c r="S283" s="27"/>
    </row>
    <row r="284" ht="12.75">
      <c r="S284" s="27"/>
    </row>
    <row r="285" ht="12.75">
      <c r="S285" s="27"/>
    </row>
    <row r="286" ht="12.75">
      <c r="S286" s="27"/>
    </row>
    <row r="287" ht="12.75">
      <c r="S287" s="27"/>
    </row>
    <row r="288" ht="12.75">
      <c r="S288" s="27"/>
    </row>
    <row r="289" ht="12.75">
      <c r="S289" s="27"/>
    </row>
    <row r="290" ht="12.75">
      <c r="S290" s="27"/>
    </row>
    <row r="291" ht="12.75">
      <c r="S291" s="27"/>
    </row>
    <row r="292" ht="12.75">
      <c r="S292" s="27"/>
    </row>
    <row r="293" ht="12.75">
      <c r="S293" s="27"/>
    </row>
    <row r="294" ht="12.75">
      <c r="S294" s="27"/>
    </row>
    <row r="295" ht="12.75">
      <c r="S295" s="27"/>
    </row>
    <row r="296" ht="12.75">
      <c r="S296" s="27"/>
    </row>
    <row r="297" ht="12.75">
      <c r="S297" s="27"/>
    </row>
    <row r="298" ht="12.75">
      <c r="S298" s="27"/>
    </row>
    <row r="299" ht="12.75">
      <c r="S299" s="27"/>
    </row>
    <row r="300" ht="12.75">
      <c r="S300" s="27"/>
    </row>
    <row r="301" ht="12.75">
      <c r="S301" s="27"/>
    </row>
    <row r="302" ht="12.75">
      <c r="S302" s="27"/>
    </row>
    <row r="303" ht="12.75">
      <c r="S303" s="27"/>
    </row>
    <row r="304" ht="12.75">
      <c r="S304" s="27"/>
    </row>
    <row r="305" ht="12.75">
      <c r="S305" s="27"/>
    </row>
    <row r="306" ht="12.75">
      <c r="S306" s="27"/>
    </row>
    <row r="307" ht="12.75">
      <c r="S307" s="27"/>
    </row>
    <row r="308" ht="12.75">
      <c r="S308" s="27"/>
    </row>
    <row r="309" ht="12.75">
      <c r="S309" s="27"/>
    </row>
    <row r="310" ht="12.75">
      <c r="S310" s="27"/>
    </row>
    <row r="311" ht="12.75">
      <c r="S311" s="27"/>
    </row>
    <row r="312" ht="12.75">
      <c r="S312" s="27"/>
    </row>
    <row r="313" ht="12.75">
      <c r="S313" s="27"/>
    </row>
    <row r="314" ht="12.75">
      <c r="S314" s="27"/>
    </row>
    <row r="315" ht="12.75">
      <c r="S315" s="27"/>
    </row>
    <row r="316" ht="12.75">
      <c r="S316" s="27"/>
    </row>
    <row r="317" ht="12.75">
      <c r="S317" s="27"/>
    </row>
    <row r="318" ht="12.75">
      <c r="S318" s="27"/>
    </row>
    <row r="319" ht="12.75">
      <c r="S319" s="27"/>
    </row>
    <row r="320" ht="12.75">
      <c r="S320" s="27"/>
    </row>
    <row r="321" ht="12.75">
      <c r="S321" s="27"/>
    </row>
    <row r="322" ht="12.75">
      <c r="S322" s="27"/>
    </row>
    <row r="323" ht="12.75">
      <c r="S323" s="27"/>
    </row>
    <row r="324" ht="12.75">
      <c r="S324" s="27"/>
    </row>
    <row r="325" ht="12.75">
      <c r="S325" s="27"/>
    </row>
    <row r="326" ht="12.75">
      <c r="S326" s="27"/>
    </row>
    <row r="327" ht="12.75">
      <c r="S327" s="27"/>
    </row>
    <row r="328" ht="12.75">
      <c r="S328" s="27"/>
    </row>
    <row r="329" ht="12.75">
      <c r="S329" s="27"/>
    </row>
    <row r="330" ht="12.75">
      <c r="S330" s="27"/>
    </row>
    <row r="331" ht="12.75">
      <c r="S331" s="27"/>
    </row>
    <row r="332" ht="12.75">
      <c r="S332" s="27"/>
    </row>
    <row r="333" ht="12.75">
      <c r="S333" s="27"/>
    </row>
    <row r="334" ht="12.75">
      <c r="S334" s="27"/>
    </row>
    <row r="335" ht="12.75">
      <c r="S335" s="27"/>
    </row>
    <row r="336" ht="12.75">
      <c r="S336" s="27"/>
    </row>
    <row r="337" ht="12.75">
      <c r="S337" s="27"/>
    </row>
    <row r="338" ht="12.75">
      <c r="S338" s="27"/>
    </row>
    <row r="339" ht="12.75">
      <c r="S339" s="27"/>
    </row>
    <row r="340" ht="12.75">
      <c r="S340" s="27"/>
    </row>
    <row r="341" ht="12.75">
      <c r="S341" s="27"/>
    </row>
    <row r="342" ht="12.75">
      <c r="S342" s="27"/>
    </row>
    <row r="343" ht="12.75">
      <c r="S343" s="27"/>
    </row>
    <row r="344" ht="12.75">
      <c r="S344" s="27"/>
    </row>
    <row r="345" ht="12.75">
      <c r="S345" s="27"/>
    </row>
    <row r="346" ht="12.75">
      <c r="S346" s="27"/>
    </row>
    <row r="347" ht="12.75">
      <c r="S347" s="27"/>
    </row>
    <row r="348" ht="12.75">
      <c r="S348" s="27"/>
    </row>
    <row r="349" ht="12.75">
      <c r="S349" s="27"/>
    </row>
    <row r="350" ht="12.75">
      <c r="S350" s="27"/>
    </row>
    <row r="351" ht="12.75">
      <c r="S351" s="27"/>
    </row>
    <row r="352" ht="12.75">
      <c r="S352" s="27"/>
    </row>
    <row r="353" ht="12.75">
      <c r="S353" s="27"/>
    </row>
    <row r="354" ht="12.75">
      <c r="S354" s="27"/>
    </row>
    <row r="355" ht="12.75">
      <c r="S355" s="27"/>
    </row>
    <row r="356" ht="12.75">
      <c r="S356" s="27"/>
    </row>
    <row r="357" ht="12.75">
      <c r="S357" s="27"/>
    </row>
    <row r="358" ht="12.75">
      <c r="S358" s="27"/>
    </row>
    <row r="359" ht="12.75">
      <c r="S359" s="27"/>
    </row>
    <row r="360" ht="12.75">
      <c r="S360" s="27"/>
    </row>
    <row r="361" ht="12.75">
      <c r="S361" s="27"/>
    </row>
    <row r="362" ht="12.75">
      <c r="S362" s="27"/>
    </row>
    <row r="363" ht="12.75">
      <c r="S363" s="27"/>
    </row>
    <row r="364" ht="12.75">
      <c r="S364" s="27"/>
    </row>
    <row r="365" ht="12.75">
      <c r="S365" s="27"/>
    </row>
    <row r="366" ht="12.75">
      <c r="S366" s="27"/>
    </row>
    <row r="367" ht="12.75">
      <c r="S367" s="27"/>
    </row>
    <row r="368" ht="12.75">
      <c r="S368" s="27"/>
    </row>
    <row r="369" ht="12.75">
      <c r="S369" s="27"/>
    </row>
    <row r="370" ht="12.75">
      <c r="S370" s="27"/>
    </row>
    <row r="371" ht="12.75">
      <c r="S371" s="27"/>
    </row>
    <row r="372" ht="12.75">
      <c r="S372" s="27"/>
    </row>
    <row r="373" ht="12.75">
      <c r="S373" s="27"/>
    </row>
    <row r="374" ht="12.75">
      <c r="S374" s="27"/>
    </row>
    <row r="375" ht="12.75">
      <c r="S375" s="27"/>
    </row>
    <row r="376" ht="12.75">
      <c r="S376" s="27"/>
    </row>
    <row r="377" ht="12.75">
      <c r="S377" s="27"/>
    </row>
    <row r="378" ht="12.75">
      <c r="S378" s="27"/>
    </row>
    <row r="379" ht="12.75">
      <c r="S379" s="27"/>
    </row>
    <row r="380" ht="12.75">
      <c r="S380" s="27"/>
    </row>
    <row r="381" ht="12.75">
      <c r="S381" s="27"/>
    </row>
    <row r="382" ht="12.75">
      <c r="S382" s="27"/>
    </row>
    <row r="383" ht="12.75">
      <c r="S383" s="27"/>
    </row>
    <row r="384" ht="12.75">
      <c r="S384" s="27"/>
    </row>
    <row r="385" ht="12.75">
      <c r="S385" s="27"/>
    </row>
    <row r="386" ht="12.75">
      <c r="S386" s="27"/>
    </row>
    <row r="387" ht="12.75">
      <c r="S387" s="27"/>
    </row>
    <row r="388" ht="12.75">
      <c r="S388" s="27"/>
    </row>
    <row r="389" ht="12.75">
      <c r="S389" s="27"/>
    </row>
    <row r="390" ht="12.75">
      <c r="S390" s="27"/>
    </row>
    <row r="391" ht="12.75">
      <c r="S391" s="27"/>
    </row>
    <row r="392" ht="12.75">
      <c r="S392" s="27"/>
    </row>
    <row r="393" ht="12.75">
      <c r="S393" s="27"/>
    </row>
    <row r="394" ht="12.75">
      <c r="S394" s="27"/>
    </row>
    <row r="395" ht="12.75">
      <c r="S395" s="27"/>
    </row>
    <row r="396" ht="12.75">
      <c r="S396" s="27"/>
    </row>
    <row r="397" ht="12.75">
      <c r="S397" s="27"/>
    </row>
    <row r="398" ht="12.75">
      <c r="S398" s="27"/>
    </row>
    <row r="399" ht="12.75">
      <c r="S399" s="27"/>
    </row>
    <row r="400" ht="12.75">
      <c r="S400" s="27"/>
    </row>
    <row r="401" ht="12.75">
      <c r="S401" s="27"/>
    </row>
    <row r="402" ht="12.75">
      <c r="S402" s="27"/>
    </row>
    <row r="403" ht="12.75">
      <c r="S403" s="27"/>
    </row>
    <row r="404" ht="12.75">
      <c r="S404" s="27"/>
    </row>
    <row r="405" ht="12.75">
      <c r="S405" s="27"/>
    </row>
    <row r="406" ht="12.75">
      <c r="S406" s="27"/>
    </row>
    <row r="407" ht="12.75">
      <c r="S407" s="27"/>
    </row>
    <row r="408" ht="12.75">
      <c r="S408" s="27"/>
    </row>
    <row r="409" ht="12.75">
      <c r="S409" s="27"/>
    </row>
    <row r="410" ht="12.75">
      <c r="S410" s="27"/>
    </row>
    <row r="411" ht="12.75">
      <c r="S411" s="27"/>
    </row>
    <row r="412" ht="12.75">
      <c r="S412" s="27"/>
    </row>
    <row r="413" ht="12.75">
      <c r="S413" s="27"/>
    </row>
    <row r="414" ht="12.75">
      <c r="S414" s="27"/>
    </row>
    <row r="415" ht="12.75">
      <c r="S415" s="27"/>
    </row>
    <row r="416" ht="12.75">
      <c r="S416" s="27"/>
    </row>
    <row r="417" ht="12.75">
      <c r="S417" s="27"/>
    </row>
    <row r="418" ht="12.75">
      <c r="S418" s="27"/>
    </row>
    <row r="419" ht="12.75">
      <c r="S419" s="27"/>
    </row>
    <row r="420" ht="12.75">
      <c r="S420" s="27"/>
    </row>
    <row r="421" ht="12.75">
      <c r="S421" s="27"/>
    </row>
    <row r="422" ht="12.75">
      <c r="S422" s="27"/>
    </row>
    <row r="423" ht="12.75">
      <c r="S423" s="27"/>
    </row>
    <row r="424" ht="12.75">
      <c r="S424" s="27"/>
    </row>
    <row r="425" ht="12.75">
      <c r="S425" s="27"/>
    </row>
    <row r="426" ht="12.75">
      <c r="S426" s="27"/>
    </row>
    <row r="427" ht="12.75">
      <c r="S427" s="27"/>
    </row>
    <row r="428" ht="12.75">
      <c r="S428" s="27"/>
    </row>
    <row r="429" ht="12.75">
      <c r="S429" s="27"/>
    </row>
    <row r="430" ht="12.75">
      <c r="S430" s="27"/>
    </row>
    <row r="431" ht="12.75">
      <c r="S431" s="27"/>
    </row>
    <row r="432" ht="12.75">
      <c r="S432" s="27"/>
    </row>
    <row r="433" ht="12.75">
      <c r="S433" s="27"/>
    </row>
    <row r="434" ht="12.75">
      <c r="S434" s="27"/>
    </row>
    <row r="435" ht="12.75">
      <c r="S435" s="27"/>
    </row>
    <row r="436" ht="12.75">
      <c r="S436" s="27"/>
    </row>
    <row r="437" ht="12.75">
      <c r="S437" s="27"/>
    </row>
    <row r="438" ht="12.75">
      <c r="S438" s="27"/>
    </row>
    <row r="439" ht="12.75">
      <c r="S439" s="27"/>
    </row>
    <row r="440" ht="12.75">
      <c r="S440" s="27"/>
    </row>
    <row r="441" ht="12.75">
      <c r="S441" s="27"/>
    </row>
    <row r="442" ht="12.75">
      <c r="S442" s="27"/>
    </row>
    <row r="443" ht="12.75">
      <c r="S443" s="27"/>
    </row>
    <row r="444" ht="12.75">
      <c r="S444" s="27"/>
    </row>
    <row r="445" ht="12.75">
      <c r="S445" s="27"/>
    </row>
    <row r="446" ht="12.75">
      <c r="S446" s="27"/>
    </row>
    <row r="447" ht="12.75">
      <c r="S447" s="27"/>
    </row>
    <row r="448" ht="12.75">
      <c r="S448" s="27"/>
    </row>
    <row r="449" ht="12.75">
      <c r="S449" s="27"/>
    </row>
    <row r="450" ht="12.75">
      <c r="S450" s="27"/>
    </row>
    <row r="451" ht="12.75">
      <c r="S451" s="27"/>
    </row>
    <row r="452" ht="12.75">
      <c r="S452" s="27"/>
    </row>
    <row r="453" ht="12.75">
      <c r="S453" s="27"/>
    </row>
    <row r="454" ht="12.75">
      <c r="S454" s="27"/>
    </row>
    <row r="455" ht="12.75">
      <c r="S455" s="27"/>
    </row>
    <row r="456" ht="12.75">
      <c r="S456" s="27"/>
    </row>
    <row r="457" ht="12.75">
      <c r="S457" s="27"/>
    </row>
    <row r="458" ht="12.75">
      <c r="S458" s="27"/>
    </row>
    <row r="459" ht="12.75">
      <c r="S459" s="27"/>
    </row>
    <row r="460" ht="12.75">
      <c r="S460" s="27"/>
    </row>
    <row r="461" ht="12.75">
      <c r="S461" s="27"/>
    </row>
    <row r="462" ht="12.75">
      <c r="S462" s="27"/>
    </row>
    <row r="463" ht="12.75">
      <c r="S463" s="27"/>
    </row>
    <row r="464" ht="12.75">
      <c r="S464" s="27"/>
    </row>
    <row r="465" ht="12.75">
      <c r="S465" s="27"/>
    </row>
    <row r="466" ht="12.75">
      <c r="S466" s="27"/>
    </row>
    <row r="467" ht="12.75">
      <c r="S467" s="27"/>
    </row>
    <row r="468" ht="12.75">
      <c r="S468" s="27"/>
    </row>
    <row r="469" ht="12.75">
      <c r="S469" s="27"/>
    </row>
    <row r="470" ht="12.75">
      <c r="S470" s="27"/>
    </row>
    <row r="471" ht="12.75">
      <c r="S471" s="27"/>
    </row>
  </sheetData>
  <mergeCells count="6">
    <mergeCell ref="A33:B33"/>
    <mergeCell ref="E1:F1"/>
    <mergeCell ref="O1:R1"/>
    <mergeCell ref="K1:N1"/>
    <mergeCell ref="G1:J1"/>
    <mergeCell ref="C33:I33"/>
  </mergeCell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7.xml><?xml version="1.0" encoding="utf-8"?>
<worksheet xmlns="http://schemas.openxmlformats.org/spreadsheetml/2006/main" xmlns:r="http://schemas.openxmlformats.org/officeDocument/2006/relationships">
  <dimension ref="A1:L72"/>
  <sheetViews>
    <sheetView zoomScale="88" zoomScaleNormal="88" workbookViewId="0" topLeftCell="A1">
      <selection activeCell="J24" sqref="J24"/>
    </sheetView>
  </sheetViews>
  <sheetFormatPr defaultColWidth="9.140625" defaultRowHeight="12.75"/>
  <cols>
    <col min="1" max="1" width="8.8515625" style="0" customWidth="1"/>
    <col min="2" max="2" width="13.140625" style="0" customWidth="1"/>
    <col min="3" max="3" width="12.28125" style="0" customWidth="1"/>
    <col min="4" max="4" width="15.8515625" style="0" customWidth="1"/>
    <col min="5" max="5" width="17.8515625" style="0" customWidth="1"/>
    <col min="6" max="8" width="8.8515625" style="0" customWidth="1"/>
    <col min="9" max="9" width="12.28125" style="0" customWidth="1"/>
    <col min="10" max="10" width="11.140625" style="0" customWidth="1"/>
    <col min="11" max="11" width="17.8515625" style="0" customWidth="1"/>
    <col min="12" max="16384" width="8.8515625" style="0" customWidth="1"/>
  </cols>
  <sheetData>
    <row r="1" spans="1:12" ht="12.75">
      <c r="A1" s="274"/>
      <c r="B1" s="275"/>
      <c r="C1" s="275"/>
      <c r="D1" s="275"/>
      <c r="E1" s="276"/>
      <c r="H1" s="277"/>
      <c r="I1" s="278"/>
      <c r="J1" s="278"/>
      <c r="K1" s="278"/>
      <c r="L1" s="279"/>
    </row>
    <row r="2" spans="1:12" ht="15.75">
      <c r="A2" s="280" t="s">
        <v>77</v>
      </c>
      <c r="B2" s="281"/>
      <c r="C2" s="281"/>
      <c r="D2" s="281"/>
      <c r="E2" s="282"/>
      <c r="H2" s="283" t="s">
        <v>331</v>
      </c>
      <c r="I2" s="284"/>
      <c r="J2" s="284"/>
      <c r="K2" s="284"/>
      <c r="L2" s="285"/>
    </row>
    <row r="3" spans="1:12" ht="12.75">
      <c r="A3" s="286" t="s">
        <v>81</v>
      </c>
      <c r="B3" s="287"/>
      <c r="C3" s="287"/>
      <c r="D3" s="287"/>
      <c r="E3" s="288"/>
      <c r="H3" s="289" t="s">
        <v>81</v>
      </c>
      <c r="I3" s="290"/>
      <c r="J3" s="290"/>
      <c r="K3" s="290"/>
      <c r="L3" s="285"/>
    </row>
    <row r="4" spans="1:12" ht="12.75">
      <c r="A4" s="291"/>
      <c r="B4" s="287" t="s">
        <v>42</v>
      </c>
      <c r="C4" s="287" t="s">
        <v>332</v>
      </c>
      <c r="D4" s="287" t="s">
        <v>333</v>
      </c>
      <c r="E4" s="288" t="s">
        <v>334</v>
      </c>
      <c r="H4" s="292"/>
      <c r="I4" s="290" t="s">
        <v>42</v>
      </c>
      <c r="J4" s="290" t="s">
        <v>332</v>
      </c>
      <c r="K4" s="290" t="s">
        <v>333</v>
      </c>
      <c r="L4" s="285"/>
    </row>
    <row r="5" spans="1:12" ht="12.75">
      <c r="A5" s="291">
        <v>2006</v>
      </c>
      <c r="B5" s="287">
        <v>159</v>
      </c>
      <c r="C5" s="287">
        <f>(B5*1000000*100000)/(1027*1000)</f>
        <v>15481986.368062317</v>
      </c>
      <c r="D5" s="293">
        <v>6.76</v>
      </c>
      <c r="E5" s="294">
        <f>C5*D5</f>
        <v>104658227.84810126</v>
      </c>
      <c r="H5" s="292">
        <v>2006</v>
      </c>
      <c r="I5" s="290">
        <v>159</v>
      </c>
      <c r="J5" s="290">
        <f>(I5*1000000*100000)/(1027*1000)</f>
        <v>15481986.368062317</v>
      </c>
      <c r="K5" s="295">
        <f>D5</f>
        <v>6.76</v>
      </c>
      <c r="L5" s="285"/>
    </row>
    <row r="6" spans="1:12" ht="12.75">
      <c r="A6" s="291">
        <v>2010</v>
      </c>
      <c r="B6" s="287">
        <v>171</v>
      </c>
      <c r="C6" s="287">
        <f>(B6*1000000*100000)/(1027*1000)</f>
        <v>16650438.169425512</v>
      </c>
      <c r="D6" s="293">
        <v>9.570484905190915</v>
      </c>
      <c r="E6" s="294">
        <f>C6*D6</f>
        <v>159352767.1653015</v>
      </c>
      <c r="H6" s="292"/>
      <c r="I6" s="290"/>
      <c r="J6" s="290"/>
      <c r="K6" s="295"/>
      <c r="L6" s="285"/>
    </row>
    <row r="7" spans="1:12" ht="12.75">
      <c r="A7" s="291">
        <v>2020</v>
      </c>
      <c r="B7" s="287">
        <v>202</v>
      </c>
      <c r="C7" s="287">
        <f>(B7*1000000*100000)/(1027*1000)</f>
        <v>19668938.65628043</v>
      </c>
      <c r="D7" s="293">
        <v>19.01162445539624</v>
      </c>
      <c r="E7" s="294">
        <f>C7*D7</f>
        <v>373938475.1694295</v>
      </c>
      <c r="H7" s="292">
        <v>2020</v>
      </c>
      <c r="I7" s="290">
        <v>102</v>
      </c>
      <c r="J7" s="290">
        <f>(I7*1000000*100000)/(1027*1000)</f>
        <v>9931840.311587147</v>
      </c>
      <c r="K7" s="295">
        <v>19.01162445539624</v>
      </c>
      <c r="L7" s="285"/>
    </row>
    <row r="8" spans="1:12" ht="12.75">
      <c r="A8" s="291">
        <v>2030</v>
      </c>
      <c r="B8" s="287">
        <v>239</v>
      </c>
      <c r="C8" s="287">
        <f>(B8*1000000*100000)/(1027*1000)</f>
        <v>23271665.043816943</v>
      </c>
      <c r="D8" s="293">
        <v>34.613562990821976</v>
      </c>
      <c r="E8" s="294">
        <f>C8*D8</f>
        <v>805515243.8954676</v>
      </c>
      <c r="H8" s="292">
        <v>2030</v>
      </c>
      <c r="I8" s="290">
        <v>34.1</v>
      </c>
      <c r="J8" s="290">
        <f>(I8*1000000*100000)/(1027*1000)</f>
        <v>3320350.535540409</v>
      </c>
      <c r="K8" s="295">
        <v>34.613562990821976</v>
      </c>
      <c r="L8" s="285"/>
    </row>
    <row r="9" spans="1:12" ht="12.75">
      <c r="A9" s="291"/>
      <c r="B9" s="287"/>
      <c r="C9" s="287"/>
      <c r="D9" s="293"/>
      <c r="E9" s="294"/>
      <c r="H9" s="292"/>
      <c r="I9" s="290"/>
      <c r="J9" s="290"/>
      <c r="K9" s="295"/>
      <c r="L9" s="285"/>
    </row>
    <row r="10" spans="1:12" ht="15.75">
      <c r="A10" s="296" t="s">
        <v>330</v>
      </c>
      <c r="B10" s="287"/>
      <c r="C10" s="287"/>
      <c r="D10" s="293"/>
      <c r="E10" s="294"/>
      <c r="H10" s="297"/>
      <c r="I10" s="290"/>
      <c r="J10" s="290"/>
      <c r="K10" s="295"/>
      <c r="L10" s="285"/>
    </row>
    <row r="11" spans="1:12" ht="12.75">
      <c r="A11" s="286" t="s">
        <v>17</v>
      </c>
      <c r="B11" s="287"/>
      <c r="C11" s="287"/>
      <c r="D11" s="287"/>
      <c r="E11" s="288"/>
      <c r="H11" s="289" t="s">
        <v>17</v>
      </c>
      <c r="I11" s="290"/>
      <c r="J11" s="290"/>
      <c r="K11" s="290"/>
      <c r="L11" s="285"/>
    </row>
    <row r="12" spans="1:12" ht="12.75">
      <c r="A12" s="291"/>
      <c r="B12" s="287" t="s">
        <v>335</v>
      </c>
      <c r="C12" s="287" t="s">
        <v>336</v>
      </c>
      <c r="D12" s="287" t="s">
        <v>337</v>
      </c>
      <c r="E12" s="288"/>
      <c r="H12" s="292"/>
      <c r="I12" s="290" t="s">
        <v>335</v>
      </c>
      <c r="J12" s="290" t="s">
        <v>336</v>
      </c>
      <c r="K12" s="290" t="s">
        <v>337</v>
      </c>
      <c r="L12" s="285"/>
    </row>
    <row r="13" spans="1:12" ht="12.75">
      <c r="A13" s="291">
        <v>2006</v>
      </c>
      <c r="B13" s="287">
        <v>7.75</v>
      </c>
      <c r="C13" s="298">
        <v>2.92275</v>
      </c>
      <c r="D13" s="287">
        <f>C13/B13</f>
        <v>0.37712903225806454</v>
      </c>
      <c r="E13" s="288"/>
      <c r="H13" s="292">
        <v>2006</v>
      </c>
      <c r="I13" s="290">
        <f>B13</f>
        <v>7.75</v>
      </c>
      <c r="J13" s="299">
        <f>C13</f>
        <v>2.92275</v>
      </c>
      <c r="K13" s="290">
        <f>J13/I13</f>
        <v>0.37712903225806454</v>
      </c>
      <c r="L13" s="285"/>
    </row>
    <row r="14" spans="1:12" ht="12.75">
      <c r="A14" s="291">
        <v>2007</v>
      </c>
      <c r="B14" s="287"/>
      <c r="C14" s="298">
        <v>3.0215852681980575</v>
      </c>
      <c r="D14" s="287"/>
      <c r="E14" s="288"/>
      <c r="H14" s="292"/>
      <c r="I14" s="290"/>
      <c r="J14" s="299"/>
      <c r="K14" s="290"/>
      <c r="L14" s="285"/>
    </row>
    <row r="15" spans="1:12" ht="12.75">
      <c r="A15" s="291">
        <v>2020</v>
      </c>
      <c r="B15" s="287"/>
      <c r="C15" s="298">
        <v>6.034925319625621</v>
      </c>
      <c r="D15" s="287"/>
      <c r="E15" s="288"/>
      <c r="H15" s="292"/>
      <c r="I15" s="290"/>
      <c r="J15" s="299"/>
      <c r="K15" s="290"/>
      <c r="L15" s="285"/>
    </row>
    <row r="16" spans="1:12" ht="12.75">
      <c r="A16" s="291">
        <v>2030</v>
      </c>
      <c r="B16" s="287">
        <v>8.03076923076923</v>
      </c>
      <c r="C16" s="300">
        <v>11.716373611504281</v>
      </c>
      <c r="D16" s="287">
        <f>C16/B16</f>
        <v>1.4589354113942112</v>
      </c>
      <c r="E16" s="288"/>
      <c r="H16" s="292">
        <v>2030</v>
      </c>
      <c r="I16" s="290">
        <v>20</v>
      </c>
      <c r="J16" s="301">
        <f>C16</f>
        <v>11.716373611504281</v>
      </c>
      <c r="K16" s="290">
        <f>J16/I16</f>
        <v>0.585818680575214</v>
      </c>
      <c r="L16" s="285"/>
    </row>
    <row r="17" spans="1:12" ht="12.75">
      <c r="A17" s="286" t="s">
        <v>102</v>
      </c>
      <c r="B17" s="287"/>
      <c r="C17" s="287"/>
      <c r="D17" s="287"/>
      <c r="E17" s="288"/>
      <c r="H17" s="289" t="s">
        <v>102</v>
      </c>
      <c r="I17" s="290"/>
      <c r="J17" s="290"/>
      <c r="K17" s="290"/>
      <c r="L17" s="285"/>
    </row>
    <row r="18" spans="1:12" ht="12.75">
      <c r="A18" s="291"/>
      <c r="B18" s="287" t="s">
        <v>335</v>
      </c>
      <c r="C18" s="287" t="s">
        <v>336</v>
      </c>
      <c r="D18" s="287" t="s">
        <v>337</v>
      </c>
      <c r="E18" s="288"/>
      <c r="H18" s="292"/>
      <c r="I18" s="290" t="s">
        <v>335</v>
      </c>
      <c r="J18" s="290" t="s">
        <v>336</v>
      </c>
      <c r="K18" s="290" t="s">
        <v>337</v>
      </c>
      <c r="L18" s="285"/>
    </row>
    <row r="19" spans="1:12" ht="12.75">
      <c r="A19" s="291">
        <v>2006</v>
      </c>
      <c r="B19" s="287">
        <f>0.98*B13</f>
        <v>7.595</v>
      </c>
      <c r="C19" s="298">
        <f>1.1*C13</f>
        <v>3.2150250000000002</v>
      </c>
      <c r="D19" s="287">
        <f>C19/B19</f>
        <v>0.42330809743252146</v>
      </c>
      <c r="E19" s="288"/>
      <c r="H19" s="292">
        <v>2006</v>
      </c>
      <c r="I19" s="290">
        <f>B19</f>
        <v>7.595</v>
      </c>
      <c r="J19" s="299">
        <f>C19</f>
        <v>3.2150250000000002</v>
      </c>
      <c r="K19" s="290">
        <f>J19/I19</f>
        <v>0.42330809743252146</v>
      </c>
      <c r="L19" s="285"/>
    </row>
    <row r="20" spans="1:12" ht="12.75">
      <c r="A20" s="291">
        <v>2007</v>
      </c>
      <c r="B20" s="287">
        <f>228/(29*1.02)</f>
        <v>7.707910750507099</v>
      </c>
      <c r="C20" s="298"/>
      <c r="D20" s="287">
        <f>C20/B20</f>
        <v>0</v>
      </c>
      <c r="E20" s="288"/>
      <c r="H20" s="292">
        <v>2007</v>
      </c>
      <c r="I20" s="290"/>
      <c r="J20" s="299"/>
      <c r="K20" s="290"/>
      <c r="L20" s="285"/>
    </row>
    <row r="21" spans="1:12" ht="12.75">
      <c r="A21" s="291">
        <v>2020</v>
      </c>
      <c r="B21" s="287"/>
      <c r="C21" s="298"/>
      <c r="D21" s="287"/>
      <c r="E21" s="288"/>
      <c r="H21" s="292">
        <v>2020</v>
      </c>
      <c r="I21" s="290"/>
      <c r="J21" s="299"/>
      <c r="K21" s="290"/>
      <c r="L21" s="285"/>
    </row>
    <row r="22" spans="1:12" ht="12.75">
      <c r="A22" s="291">
        <v>2030</v>
      </c>
      <c r="B22" s="287">
        <f>0.98*B16</f>
        <v>7.870153846153846</v>
      </c>
      <c r="C22" s="298">
        <f>C16</f>
        <v>11.716373611504281</v>
      </c>
      <c r="D22" s="287">
        <f>C22/B22</f>
        <v>1.4887096034634808</v>
      </c>
      <c r="E22" s="288"/>
      <c r="H22" s="292">
        <v>2030</v>
      </c>
      <c r="I22" s="290">
        <f>0.98*I16</f>
        <v>19.6</v>
      </c>
      <c r="J22" s="299">
        <f>C22</f>
        <v>11.716373611504281</v>
      </c>
      <c r="K22" s="290">
        <f>J22/I22</f>
        <v>0.5977741638522592</v>
      </c>
      <c r="L22" s="285"/>
    </row>
    <row r="23" spans="1:12" ht="12.75">
      <c r="A23" s="286" t="s">
        <v>70</v>
      </c>
      <c r="B23" s="287"/>
      <c r="C23" s="287"/>
      <c r="D23" s="287"/>
      <c r="E23" s="288"/>
      <c r="H23" s="289" t="s">
        <v>70</v>
      </c>
      <c r="I23" s="290"/>
      <c r="J23" s="290"/>
      <c r="K23" s="290"/>
      <c r="L23" s="285"/>
    </row>
    <row r="24" spans="1:12" ht="12.75">
      <c r="A24" s="291"/>
      <c r="B24" s="287" t="s">
        <v>335</v>
      </c>
      <c r="C24" s="287" t="s">
        <v>336</v>
      </c>
      <c r="D24" s="287" t="s">
        <v>337</v>
      </c>
      <c r="E24" s="288"/>
      <c r="H24" s="292"/>
      <c r="I24" s="290" t="s">
        <v>335</v>
      </c>
      <c r="J24" s="290" t="s">
        <v>336</v>
      </c>
      <c r="K24" s="290" t="s">
        <v>337</v>
      </c>
      <c r="L24" s="285"/>
    </row>
    <row r="25" spans="1:12" ht="12.75">
      <c r="A25" s="291">
        <v>2006</v>
      </c>
      <c r="B25" s="287">
        <f>3444.8388/174.455</f>
        <v>19.74628872775214</v>
      </c>
      <c r="C25" s="298">
        <v>2.8077</v>
      </c>
      <c r="D25" s="287">
        <f>C25/B25</f>
        <v>0.14218874436156492</v>
      </c>
      <c r="E25" s="288"/>
      <c r="H25" s="292">
        <v>2006</v>
      </c>
      <c r="I25" s="290">
        <f>B25</f>
        <v>19.74628872775214</v>
      </c>
      <c r="J25" s="299">
        <v>2.8077</v>
      </c>
      <c r="K25" s="290">
        <f>J25/I25</f>
        <v>0.14218874436156492</v>
      </c>
      <c r="L25" s="285"/>
    </row>
    <row r="26" spans="1:12" ht="12.75">
      <c r="A26" s="291"/>
      <c r="B26" s="287"/>
      <c r="C26" s="298"/>
      <c r="D26" s="287"/>
      <c r="E26" s="288"/>
      <c r="H26" s="292">
        <v>2020</v>
      </c>
      <c r="I26" s="290">
        <f>3891.12/175.5</f>
        <v>22.17162393162393</v>
      </c>
      <c r="J26" s="299">
        <v>6.01655170399406</v>
      </c>
      <c r="K26" s="290">
        <f>J26/I26</f>
        <v>0.27136269867055185</v>
      </c>
      <c r="L26" s="285"/>
    </row>
    <row r="27" spans="1:12" ht="12.75">
      <c r="A27" s="291">
        <v>2030</v>
      </c>
      <c r="B27" s="287">
        <f>4151.52/186.3</f>
        <v>22.284057971014494</v>
      </c>
      <c r="C27" s="300">
        <v>12.08134460280159</v>
      </c>
      <c r="D27" s="287">
        <f>C27/B27</f>
        <v>0.5421519105055344</v>
      </c>
      <c r="E27" s="288"/>
      <c r="H27" s="292">
        <v>2030</v>
      </c>
      <c r="I27" s="290">
        <f>3995.28/175.95</f>
        <v>22.70690537084399</v>
      </c>
      <c r="J27" s="301">
        <v>12.08134460280159</v>
      </c>
      <c r="K27" s="290">
        <f>J27/I27</f>
        <v>0.5320559717624146</v>
      </c>
      <c r="L27" s="285"/>
    </row>
    <row r="28" spans="1:12" ht="12.75">
      <c r="A28" s="286" t="s">
        <v>103</v>
      </c>
      <c r="B28" s="287"/>
      <c r="C28" s="287"/>
      <c r="D28" s="287"/>
      <c r="E28" s="288"/>
      <c r="H28" s="289" t="s">
        <v>103</v>
      </c>
      <c r="I28" s="290"/>
      <c r="J28" s="290"/>
      <c r="K28" s="290"/>
      <c r="L28" s="285"/>
    </row>
    <row r="29" spans="1:12" ht="12.75">
      <c r="A29" s="291"/>
      <c r="B29" s="287" t="s">
        <v>335</v>
      </c>
      <c r="C29" s="287" t="s">
        <v>336</v>
      </c>
      <c r="D29" s="287" t="s">
        <v>337</v>
      </c>
      <c r="E29" s="288"/>
      <c r="H29" s="292"/>
      <c r="I29" s="290" t="s">
        <v>335</v>
      </c>
      <c r="J29" s="290" t="s">
        <v>336</v>
      </c>
      <c r="K29" s="290" t="s">
        <v>337</v>
      </c>
      <c r="L29" s="285"/>
    </row>
    <row r="30" spans="1:12" ht="12.75">
      <c r="A30" s="291">
        <v>2006</v>
      </c>
      <c r="B30" s="287">
        <f>143.1612/10.545</f>
        <v>13.576216216216217</v>
      </c>
      <c r="C30" s="298">
        <f>C25</f>
        <v>2.8077</v>
      </c>
      <c r="D30" s="287">
        <f>C30/B30</f>
        <v>0.20681020066889633</v>
      </c>
      <c r="E30" s="288"/>
      <c r="H30" s="292">
        <v>2006</v>
      </c>
      <c r="I30" s="290">
        <f>B30</f>
        <v>13.576216216216217</v>
      </c>
      <c r="J30" s="299">
        <f>J25</f>
        <v>2.8077</v>
      </c>
      <c r="K30" s="290">
        <f>J30/I30</f>
        <v>0.20681020066889633</v>
      </c>
      <c r="L30" s="285"/>
    </row>
    <row r="31" spans="1:12" ht="12.75">
      <c r="A31" s="291"/>
      <c r="B31" s="287"/>
      <c r="C31" s="298"/>
      <c r="D31" s="287"/>
      <c r="E31" s="288"/>
      <c r="H31" s="292">
        <v>2020</v>
      </c>
      <c r="I31" s="290">
        <f>292.88/19.5</f>
        <v>15.019487179487179</v>
      </c>
      <c r="J31" s="299">
        <f>J26</f>
        <v>6.01655170399406</v>
      </c>
      <c r="K31" s="290">
        <f>J31/I31</f>
        <v>0.4005830313708146</v>
      </c>
      <c r="L31" s="285"/>
    </row>
    <row r="32" spans="1:12" ht="12.75">
      <c r="A32" s="291">
        <v>2030</v>
      </c>
      <c r="B32" s="287">
        <f>312.48/20.7</f>
        <v>15.095652173913045</v>
      </c>
      <c r="C32" s="300">
        <f>C27</f>
        <v>12.08134460280159</v>
      </c>
      <c r="D32" s="287">
        <f>C32/B32</f>
        <v>0.8003194869367412</v>
      </c>
      <c r="E32" s="288"/>
      <c r="H32" s="292">
        <v>2030</v>
      </c>
      <c r="I32" s="290">
        <f>468.72/31.05</f>
        <v>15.095652173913043</v>
      </c>
      <c r="J32" s="301">
        <f>J27</f>
        <v>12.08134460280159</v>
      </c>
      <c r="K32" s="290">
        <f>J32/I32</f>
        <v>0.8003194869367413</v>
      </c>
      <c r="L32" s="285"/>
    </row>
    <row r="33" spans="1:12" ht="12.75">
      <c r="A33" s="286" t="s">
        <v>338</v>
      </c>
      <c r="B33" s="287"/>
      <c r="C33" s="287"/>
      <c r="D33" s="287"/>
      <c r="E33" s="288"/>
      <c r="H33" s="289" t="s">
        <v>338</v>
      </c>
      <c r="I33" s="290"/>
      <c r="J33" s="290"/>
      <c r="K33" s="290"/>
      <c r="L33" s="285"/>
    </row>
    <row r="34" spans="1:12" ht="15.75">
      <c r="A34" s="302"/>
      <c r="B34" s="287" t="s">
        <v>335</v>
      </c>
      <c r="C34" s="287" t="s">
        <v>336</v>
      </c>
      <c r="D34" s="287" t="s">
        <v>337</v>
      </c>
      <c r="E34" s="288"/>
      <c r="H34" s="297"/>
      <c r="I34" s="290" t="s">
        <v>335</v>
      </c>
      <c r="J34" s="290" t="s">
        <v>336</v>
      </c>
      <c r="K34" s="290" t="s">
        <v>337</v>
      </c>
      <c r="L34" s="285"/>
    </row>
    <row r="35" spans="1:12" ht="12.75">
      <c r="A35" s="291">
        <v>2006</v>
      </c>
      <c r="B35" s="287">
        <f>2*B25</f>
        <v>39.49257745550428</v>
      </c>
      <c r="C35" s="298">
        <f>C25</f>
        <v>2.8077</v>
      </c>
      <c r="D35" s="287">
        <f>C35/B35</f>
        <v>0.07109437218078246</v>
      </c>
      <c r="E35" s="288"/>
      <c r="H35" s="292">
        <v>2006</v>
      </c>
      <c r="I35" s="290">
        <f>2*I25</f>
        <v>39.49257745550428</v>
      </c>
      <c r="J35" s="299">
        <v>2.8077</v>
      </c>
      <c r="K35" s="290">
        <f>J35/I35</f>
        <v>0.07109437218078246</v>
      </c>
      <c r="L35" s="285"/>
    </row>
    <row r="36" spans="1:12" ht="12.75">
      <c r="A36" s="291"/>
      <c r="B36" s="287"/>
      <c r="C36" s="298"/>
      <c r="D36" s="287"/>
      <c r="E36" s="288"/>
      <c r="H36" s="292">
        <v>2020</v>
      </c>
      <c r="I36" s="290">
        <f>2*I26</f>
        <v>44.34324786324786</v>
      </c>
      <c r="J36" s="299">
        <f>J26</f>
        <v>6.01655170399406</v>
      </c>
      <c r="K36" s="290">
        <f>J36/I36</f>
        <v>0.13568134933527592</v>
      </c>
      <c r="L36" s="285"/>
    </row>
    <row r="37" spans="1:12" ht="12.75">
      <c r="A37" s="291">
        <v>2030</v>
      </c>
      <c r="B37" s="287">
        <f>2*B27</f>
        <v>44.56811594202899</v>
      </c>
      <c r="C37" s="300">
        <f>C27</f>
        <v>12.08134460280159</v>
      </c>
      <c r="D37" s="287">
        <f>C37/B37</f>
        <v>0.2710759552527672</v>
      </c>
      <c r="E37" s="288"/>
      <c r="H37" s="292">
        <v>2030</v>
      </c>
      <c r="I37" s="290">
        <f>2*I27</f>
        <v>45.41381074168798</v>
      </c>
      <c r="J37" s="301">
        <v>12.08134460280159</v>
      </c>
      <c r="K37" s="290">
        <f>J37/I37</f>
        <v>0.2660279858812073</v>
      </c>
      <c r="L37" s="285"/>
    </row>
    <row r="38" spans="1:12" ht="12.75">
      <c r="A38" s="286" t="s">
        <v>339</v>
      </c>
      <c r="B38" s="287"/>
      <c r="C38" s="300"/>
      <c r="D38" s="287"/>
      <c r="E38" s="288"/>
      <c r="H38" s="289" t="s">
        <v>339</v>
      </c>
      <c r="I38" s="290"/>
      <c r="J38" s="301"/>
      <c r="K38" s="290"/>
      <c r="L38" s="285"/>
    </row>
    <row r="39" spans="1:12" ht="15.75">
      <c r="A39" s="302"/>
      <c r="B39" s="287" t="s">
        <v>335</v>
      </c>
      <c r="C39" s="287" t="s">
        <v>336</v>
      </c>
      <c r="D39" s="287" t="s">
        <v>337</v>
      </c>
      <c r="E39" s="288"/>
      <c r="H39" s="297"/>
      <c r="I39" s="290" t="s">
        <v>335</v>
      </c>
      <c r="J39" s="290" t="s">
        <v>336</v>
      </c>
      <c r="K39" s="290" t="s">
        <v>337</v>
      </c>
      <c r="L39" s="285"/>
    </row>
    <row r="40" spans="1:12" ht="12.75">
      <c r="A40" s="291">
        <v>2006</v>
      </c>
      <c r="B40" s="287">
        <f>2*B30</f>
        <v>27.152432432432434</v>
      </c>
      <c r="C40" s="298">
        <f>1.05*C35</f>
        <v>2.9480850000000003</v>
      </c>
      <c r="D40" s="287">
        <f>C40/B40</f>
        <v>0.10857535535117058</v>
      </c>
      <c r="E40" s="288"/>
      <c r="H40" s="292">
        <v>2006</v>
      </c>
      <c r="I40" s="290">
        <f>2*I30</f>
        <v>27.152432432432434</v>
      </c>
      <c r="J40" s="299">
        <f>J35</f>
        <v>2.8077</v>
      </c>
      <c r="K40" s="290">
        <f>J40/I40</f>
        <v>0.10340510033444816</v>
      </c>
      <c r="L40" s="285"/>
    </row>
    <row r="41" spans="1:12" ht="12.75">
      <c r="A41" s="291"/>
      <c r="B41" s="287"/>
      <c r="C41" s="298"/>
      <c r="D41" s="287"/>
      <c r="E41" s="288"/>
      <c r="H41" s="292">
        <v>2020</v>
      </c>
      <c r="I41" s="290">
        <f>2*I31</f>
        <v>30.038974358974357</v>
      </c>
      <c r="J41" s="299">
        <f>J36</f>
        <v>6.01655170399406</v>
      </c>
      <c r="K41" s="290">
        <f>J41/I41</f>
        <v>0.2002915156854073</v>
      </c>
      <c r="L41" s="285"/>
    </row>
    <row r="42" spans="1:12" ht="12.75">
      <c r="A42" s="291">
        <v>2030</v>
      </c>
      <c r="B42" s="287">
        <f>2*B32</f>
        <v>30.19130434782609</v>
      </c>
      <c r="C42" s="300">
        <f>1.05*C37</f>
        <v>12.68541183294167</v>
      </c>
      <c r="D42" s="287">
        <f>C42/B42</f>
        <v>0.42016773064178914</v>
      </c>
      <c r="E42" s="288"/>
      <c r="H42" s="292">
        <v>2030</v>
      </c>
      <c r="I42" s="290">
        <f>2*I32</f>
        <v>30.191304347826087</v>
      </c>
      <c r="J42" s="299">
        <f>J37</f>
        <v>12.08134460280159</v>
      </c>
      <c r="K42" s="290">
        <f>J42/I42</f>
        <v>0.40015974346837063</v>
      </c>
      <c r="L42" s="285"/>
    </row>
    <row r="43" spans="1:12" ht="12.75">
      <c r="A43" s="286" t="s">
        <v>340</v>
      </c>
      <c r="B43" s="287"/>
      <c r="C43" s="300"/>
      <c r="D43" s="287"/>
      <c r="E43" s="288"/>
      <c r="H43" s="289" t="s">
        <v>340</v>
      </c>
      <c r="I43" s="290"/>
      <c r="J43" s="301"/>
      <c r="K43" s="290"/>
      <c r="L43" s="285"/>
    </row>
    <row r="44" spans="1:12" ht="12.75">
      <c r="A44" s="291"/>
      <c r="B44" s="287" t="s">
        <v>335</v>
      </c>
      <c r="C44" s="287" t="s">
        <v>336</v>
      </c>
      <c r="D44" s="287" t="s">
        <v>337</v>
      </c>
      <c r="E44" s="288"/>
      <c r="H44" s="292"/>
      <c r="I44" s="290" t="s">
        <v>335</v>
      </c>
      <c r="J44" s="290" t="s">
        <v>336</v>
      </c>
      <c r="K44" s="290" t="s">
        <v>337</v>
      </c>
      <c r="L44" s="285"/>
    </row>
    <row r="45" spans="1:12" ht="12.75">
      <c r="A45" s="291">
        <v>2006</v>
      </c>
      <c r="B45" s="287">
        <f>2*B25</f>
        <v>39.49257745550428</v>
      </c>
      <c r="C45" s="298">
        <f>C35</f>
        <v>2.8077</v>
      </c>
      <c r="D45" s="287">
        <f>C45/B45</f>
        <v>0.07109437218078246</v>
      </c>
      <c r="E45" s="288"/>
      <c r="H45" s="292">
        <v>2006</v>
      </c>
      <c r="I45" s="290">
        <f>2*B25</f>
        <v>39.49257745550428</v>
      </c>
      <c r="J45" s="299">
        <f>J35</f>
        <v>2.8077</v>
      </c>
      <c r="K45" s="290">
        <f>J45/I45</f>
        <v>0.07109437218078246</v>
      </c>
      <c r="L45" s="285"/>
    </row>
    <row r="46" spans="1:12" ht="12.75">
      <c r="A46" s="291">
        <v>2030</v>
      </c>
      <c r="B46" s="287">
        <f>2*B27</f>
        <v>44.56811594202899</v>
      </c>
      <c r="C46" s="300">
        <f>C37</f>
        <v>12.08134460280159</v>
      </c>
      <c r="D46" s="287">
        <f>C46/B46</f>
        <v>0.2710759552527672</v>
      </c>
      <c r="E46" s="288"/>
      <c r="H46" s="292">
        <v>2030</v>
      </c>
      <c r="I46" s="290">
        <f>2*B27</f>
        <v>44.56811594202899</v>
      </c>
      <c r="J46" s="301">
        <f>J37</f>
        <v>12.08134460280159</v>
      </c>
      <c r="K46" s="290">
        <f>J46/I46</f>
        <v>0.2710759552527672</v>
      </c>
      <c r="L46" s="285"/>
    </row>
    <row r="47" spans="1:12" ht="12.75">
      <c r="A47" s="286" t="s">
        <v>154</v>
      </c>
      <c r="B47" s="287"/>
      <c r="C47" s="300"/>
      <c r="D47" s="287"/>
      <c r="E47" s="288"/>
      <c r="H47" s="289" t="s">
        <v>154</v>
      </c>
      <c r="I47" s="290"/>
      <c r="J47" s="301"/>
      <c r="K47" s="290"/>
      <c r="L47" s="285"/>
    </row>
    <row r="48" spans="1:12" ht="12.75">
      <c r="A48" s="291"/>
      <c r="B48" s="287" t="s">
        <v>335</v>
      </c>
      <c r="C48" s="287" t="s">
        <v>336</v>
      </c>
      <c r="D48" s="287" t="s">
        <v>337</v>
      </c>
      <c r="E48" s="288"/>
      <c r="H48" s="292"/>
      <c r="I48" s="290" t="s">
        <v>335</v>
      </c>
      <c r="J48" s="290" t="s">
        <v>336</v>
      </c>
      <c r="K48" s="290" t="s">
        <v>337</v>
      </c>
      <c r="L48" s="285"/>
    </row>
    <row r="49" spans="1:12" ht="12.75">
      <c r="A49" s="291">
        <v>2006</v>
      </c>
      <c r="B49" s="287">
        <f>2*B30</f>
        <v>27.152432432432434</v>
      </c>
      <c r="C49" s="298">
        <f>C45</f>
        <v>2.8077</v>
      </c>
      <c r="D49" s="287">
        <f>C49/B49</f>
        <v>0.10340510033444816</v>
      </c>
      <c r="E49" s="288"/>
      <c r="H49" s="292">
        <v>2006</v>
      </c>
      <c r="I49" s="290">
        <f>2*B30</f>
        <v>27.152432432432434</v>
      </c>
      <c r="J49" s="299">
        <f>J45</f>
        <v>2.8077</v>
      </c>
      <c r="K49" s="290">
        <f>J49/I49</f>
        <v>0.10340510033444816</v>
      </c>
      <c r="L49" s="285"/>
    </row>
    <row r="50" spans="1:12" ht="12.75">
      <c r="A50" s="291">
        <v>2030</v>
      </c>
      <c r="B50" s="287">
        <f>2*B32</f>
        <v>30.19130434782609</v>
      </c>
      <c r="C50" s="300">
        <f>C46</f>
        <v>12.08134460280159</v>
      </c>
      <c r="D50" s="287">
        <f>C50/B50</f>
        <v>0.4001597434683706</v>
      </c>
      <c r="E50" s="288"/>
      <c r="H50" s="292">
        <v>2030</v>
      </c>
      <c r="I50" s="290">
        <f>2*B32</f>
        <v>30.19130434782609</v>
      </c>
      <c r="J50" s="301">
        <f>J46</f>
        <v>12.08134460280159</v>
      </c>
      <c r="K50" s="290">
        <f>J50/I50</f>
        <v>0.4001597434683706</v>
      </c>
      <c r="L50" s="285"/>
    </row>
    <row r="51" spans="1:12" ht="12.75">
      <c r="A51" s="286" t="s">
        <v>155</v>
      </c>
      <c r="B51" s="287"/>
      <c r="C51" s="287"/>
      <c r="D51" s="287"/>
      <c r="E51" s="288"/>
      <c r="H51" s="289" t="s">
        <v>155</v>
      </c>
      <c r="I51" s="290"/>
      <c r="J51" s="290"/>
      <c r="K51" s="290"/>
      <c r="L51" s="285"/>
    </row>
    <row r="52" spans="1:12" ht="15.75">
      <c r="A52" s="302"/>
      <c r="B52" s="287" t="s">
        <v>335</v>
      </c>
      <c r="C52" s="287" t="s">
        <v>336</v>
      </c>
      <c r="D52" s="287" t="s">
        <v>337</v>
      </c>
      <c r="E52" s="288"/>
      <c r="H52" s="297"/>
      <c r="I52" s="290" t="s">
        <v>335</v>
      </c>
      <c r="J52" s="290" t="s">
        <v>336</v>
      </c>
      <c r="K52" s="290" t="s">
        <v>337</v>
      </c>
      <c r="L52" s="285"/>
    </row>
    <row r="53" spans="1:12" ht="12.75">
      <c r="A53" s="291">
        <v>2006</v>
      </c>
      <c r="B53" s="287">
        <f>2*3588/181.8365</f>
        <v>39.46402399958204</v>
      </c>
      <c r="C53" s="303">
        <v>0.75</v>
      </c>
      <c r="D53" s="303">
        <f>C53/B53</f>
        <v>0.019004650919732444</v>
      </c>
      <c r="E53" s="288"/>
      <c r="H53" s="292">
        <v>2006</v>
      </c>
      <c r="I53" s="290">
        <f>2*3588/181.8365</f>
        <v>39.46402399958204</v>
      </c>
      <c r="J53" s="304">
        <v>0.75</v>
      </c>
      <c r="K53" s="304">
        <f>J53/I53</f>
        <v>0.019004650919732444</v>
      </c>
      <c r="L53" s="285"/>
    </row>
    <row r="54" spans="1:12" ht="12.75">
      <c r="A54" s="291"/>
      <c r="B54" s="287"/>
      <c r="C54" s="303"/>
      <c r="D54" s="303"/>
      <c r="E54" s="288"/>
      <c r="H54" s="292">
        <v>2020</v>
      </c>
      <c r="I54" s="290">
        <f>2*4184/189.15</f>
        <v>44.24002114723764</v>
      </c>
      <c r="J54" s="304"/>
      <c r="K54" s="304"/>
      <c r="L54" s="285"/>
    </row>
    <row r="55" spans="1:12" ht="12.75">
      <c r="A55" s="291">
        <v>2030</v>
      </c>
      <c r="B55" s="287">
        <f>2*4464/200.79</f>
        <v>44.4643657552667</v>
      </c>
      <c r="C55" s="303">
        <v>0.5</v>
      </c>
      <c r="D55" s="303">
        <f>C55/B55</f>
        <v>0.011244959677419354</v>
      </c>
      <c r="E55" s="288"/>
      <c r="H55" s="292">
        <v>2030</v>
      </c>
      <c r="I55" s="290">
        <f>2*4464/197.685</f>
        <v>45.162758934668794</v>
      </c>
      <c r="J55" s="304">
        <v>0.5</v>
      </c>
      <c r="K55" s="304">
        <f>J55/I55</f>
        <v>0.011071068548387096</v>
      </c>
      <c r="L55" s="285"/>
    </row>
    <row r="56" spans="1:12" ht="12.75">
      <c r="A56" s="286" t="s">
        <v>156</v>
      </c>
      <c r="B56" s="287"/>
      <c r="C56" s="287"/>
      <c r="D56" s="287"/>
      <c r="E56" s="288"/>
      <c r="H56" s="289" t="s">
        <v>156</v>
      </c>
      <c r="I56" s="290"/>
      <c r="J56" s="290"/>
      <c r="K56" s="290"/>
      <c r="L56" s="285"/>
    </row>
    <row r="57" spans="1:12" ht="12.75">
      <c r="A57" s="291"/>
      <c r="B57" s="287" t="s">
        <v>157</v>
      </c>
      <c r="C57" s="287" t="s">
        <v>336</v>
      </c>
      <c r="D57" s="287" t="s">
        <v>334</v>
      </c>
      <c r="E57" s="288"/>
      <c r="H57" s="292"/>
      <c r="I57" s="290" t="s">
        <v>157</v>
      </c>
      <c r="J57" s="290" t="s">
        <v>336</v>
      </c>
      <c r="K57" s="290" t="s">
        <v>334</v>
      </c>
      <c r="L57" s="285"/>
    </row>
    <row r="58" spans="1:12" ht="12.75">
      <c r="A58" s="291">
        <v>2006</v>
      </c>
      <c r="B58" s="305">
        <v>546298.48</v>
      </c>
      <c r="C58" s="287">
        <v>5.53</v>
      </c>
      <c r="D58" s="293">
        <f>B58*C58</f>
        <v>3021030.5944</v>
      </c>
      <c r="E58" s="288"/>
      <c r="H58" s="292">
        <v>2006</v>
      </c>
      <c r="I58" s="306">
        <v>546298.48</v>
      </c>
      <c r="J58" s="290">
        <v>5.53</v>
      </c>
      <c r="K58" s="295">
        <f>I58*J58</f>
        <v>3021030.5944</v>
      </c>
      <c r="L58" s="285"/>
    </row>
    <row r="59" spans="1:12" ht="12.75">
      <c r="A59" s="291">
        <v>2030</v>
      </c>
      <c r="B59" s="305">
        <v>1400329.1690580335</v>
      </c>
      <c r="C59" s="287">
        <f>4.3*C58</f>
        <v>23.779</v>
      </c>
      <c r="D59" s="293">
        <f>B59*C59</f>
        <v>33298427.31103098</v>
      </c>
      <c r="E59" s="288"/>
      <c r="H59" s="292">
        <v>2030</v>
      </c>
      <c r="I59" s="306">
        <v>1400329.1690580335</v>
      </c>
      <c r="J59" s="290">
        <f>J58</f>
        <v>5.53</v>
      </c>
      <c r="K59" s="295">
        <f>I59*J59</f>
        <v>7743820.304890926</v>
      </c>
      <c r="L59" s="285"/>
    </row>
    <row r="60" spans="1:12" ht="12.75">
      <c r="A60" s="286" t="s">
        <v>158</v>
      </c>
      <c r="B60" s="287"/>
      <c r="C60" s="287"/>
      <c r="D60" s="287"/>
      <c r="E60" s="288"/>
      <c r="H60" s="289" t="s">
        <v>158</v>
      </c>
      <c r="I60" s="290"/>
      <c r="J60" s="290"/>
      <c r="K60" s="290"/>
      <c r="L60" s="285"/>
    </row>
    <row r="61" spans="1:12" ht="12.75">
      <c r="A61" s="291"/>
      <c r="B61" s="287" t="s">
        <v>157</v>
      </c>
      <c r="C61" s="287" t="s">
        <v>336</v>
      </c>
      <c r="D61" s="287" t="s">
        <v>334</v>
      </c>
      <c r="E61" s="288"/>
      <c r="H61" s="292"/>
      <c r="I61" s="290" t="s">
        <v>157</v>
      </c>
      <c r="J61" s="290" t="s">
        <v>336</v>
      </c>
      <c r="K61" s="290" t="s">
        <v>334</v>
      </c>
      <c r="L61" s="285"/>
    </row>
    <row r="62" spans="1:12" ht="12.75">
      <c r="A62" s="291">
        <v>2006</v>
      </c>
      <c r="B62" s="305">
        <v>8687146</v>
      </c>
      <c r="C62" s="287">
        <v>6.14</v>
      </c>
      <c r="D62" s="293">
        <f>B62*C62</f>
        <v>53339076.44</v>
      </c>
      <c r="E62" s="288"/>
      <c r="H62" s="292">
        <v>2006</v>
      </c>
      <c r="I62" s="306">
        <v>8687146</v>
      </c>
      <c r="J62" s="290">
        <v>6.14</v>
      </c>
      <c r="K62" s="295">
        <f>I62*J62</f>
        <v>53339076.44</v>
      </c>
      <c r="L62" s="285"/>
    </row>
    <row r="63" spans="1:12" ht="12.75">
      <c r="A63" s="291">
        <v>2020</v>
      </c>
      <c r="B63" s="305"/>
      <c r="C63" s="287">
        <f>2.1*C62</f>
        <v>12.894</v>
      </c>
      <c r="D63" s="293"/>
      <c r="E63" s="288"/>
      <c r="H63" s="292"/>
      <c r="I63" s="306"/>
      <c r="J63" s="290"/>
      <c r="K63" s="295"/>
      <c r="L63" s="285"/>
    </row>
    <row r="64" spans="1:12" ht="12.75">
      <c r="A64" s="291">
        <v>2030</v>
      </c>
      <c r="B64" s="305">
        <v>22267797.52282273</v>
      </c>
      <c r="C64" s="287">
        <f>4.3*C62</f>
        <v>26.401999999999997</v>
      </c>
      <c r="D64" s="293">
        <f>B64*C64</f>
        <v>587914390.1975657</v>
      </c>
      <c r="E64" s="288"/>
      <c r="H64" s="307">
        <v>2030</v>
      </c>
      <c r="I64" s="308">
        <v>22267797.52282273</v>
      </c>
      <c r="J64" s="309">
        <f>J62</f>
        <v>6.14</v>
      </c>
      <c r="K64" s="310">
        <f>I64*J64</f>
        <v>136724276.79013157</v>
      </c>
      <c r="L64" s="311"/>
    </row>
    <row r="65" spans="1:5" ht="12.75">
      <c r="A65" s="286" t="s">
        <v>156</v>
      </c>
      <c r="B65" s="287"/>
      <c r="C65" s="287"/>
      <c r="D65" s="287"/>
      <c r="E65" s="288"/>
    </row>
    <row r="66" spans="1:5" ht="12.75">
      <c r="A66" s="291"/>
      <c r="B66" s="287" t="s">
        <v>157</v>
      </c>
      <c r="C66" s="287" t="s">
        <v>159</v>
      </c>
      <c r="D66" s="287" t="s">
        <v>336</v>
      </c>
      <c r="E66" s="288" t="s">
        <v>334</v>
      </c>
    </row>
    <row r="67" spans="1:5" ht="12.75">
      <c r="A67" s="291">
        <v>2004</v>
      </c>
      <c r="B67" s="305">
        <v>546298.48</v>
      </c>
      <c r="C67" s="312">
        <v>15.13</v>
      </c>
      <c r="D67" s="313">
        <f>C67*5.048/42</f>
        <v>1.818481904761905</v>
      </c>
      <c r="E67" s="294">
        <f>B67*D67</f>
        <v>993433.9004789334</v>
      </c>
    </row>
    <row r="68" spans="1:5" ht="12.75">
      <c r="A68" s="314">
        <v>2030</v>
      </c>
      <c r="B68" s="315">
        <v>1400329.1690580335</v>
      </c>
      <c r="C68" s="316"/>
      <c r="D68" s="317">
        <f>2*D67</f>
        <v>3.63696380952381</v>
      </c>
      <c r="E68" s="318">
        <f>B68*D68</f>
        <v>5092946.509284616</v>
      </c>
    </row>
    <row r="69" spans="1:5" ht="12.75">
      <c r="A69" s="319" t="s">
        <v>158</v>
      </c>
      <c r="B69" s="317"/>
      <c r="C69" s="316"/>
      <c r="D69" s="317"/>
      <c r="E69" s="320"/>
    </row>
    <row r="70" spans="1:5" ht="12.75">
      <c r="A70" s="314"/>
      <c r="B70" s="317" t="s">
        <v>157</v>
      </c>
      <c r="C70" s="316"/>
      <c r="D70" s="317" t="s">
        <v>336</v>
      </c>
      <c r="E70" s="320" t="s">
        <v>334</v>
      </c>
    </row>
    <row r="71" spans="1:5" ht="12.75">
      <c r="A71" s="314">
        <v>2004</v>
      </c>
      <c r="B71" s="315">
        <v>8687146</v>
      </c>
      <c r="C71" s="321">
        <v>9.33</v>
      </c>
      <c r="D71" s="322">
        <f>C71*5.048/42</f>
        <v>1.1213771428571429</v>
      </c>
      <c r="E71" s="318">
        <f>B71*D71</f>
        <v>9741566.961062858</v>
      </c>
    </row>
    <row r="72" spans="1:5" ht="12.75">
      <c r="A72" s="323">
        <v>2030</v>
      </c>
      <c r="B72" s="324">
        <v>22267797.52282273</v>
      </c>
      <c r="C72" s="325"/>
      <c r="D72" s="326">
        <f>2*D71</f>
        <v>2.2427542857142857</v>
      </c>
      <c r="E72" s="327">
        <f>B72*D72</f>
        <v>49941198.32772864</v>
      </c>
    </row>
  </sheetData>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L38"/>
  <sheetViews>
    <sheetView zoomScale="88" zoomScaleNormal="88" workbookViewId="0" topLeftCell="A1">
      <selection activeCell="H24" sqref="H24"/>
    </sheetView>
  </sheetViews>
  <sheetFormatPr defaultColWidth="9.140625" defaultRowHeight="12.75"/>
  <cols>
    <col min="1" max="1" width="8.8515625" style="0" customWidth="1"/>
    <col min="2" max="3" width="11.00390625" style="0" customWidth="1"/>
    <col min="4" max="4" width="13.421875" style="0" customWidth="1"/>
    <col min="5" max="5" width="14.28125" style="0" customWidth="1"/>
    <col min="6" max="6" width="12.421875" style="0" customWidth="1"/>
    <col min="7" max="7" width="17.421875" style="0" customWidth="1"/>
    <col min="8" max="8" width="32.8515625" style="0" customWidth="1"/>
    <col min="9" max="16384" width="8.8515625" style="0" customWidth="1"/>
  </cols>
  <sheetData>
    <row r="1" spans="1:12" ht="27.75">
      <c r="A1" s="797" t="s">
        <v>345</v>
      </c>
      <c r="B1" s="797"/>
      <c r="C1" s="797"/>
      <c r="D1" s="797"/>
      <c r="E1" s="797"/>
      <c r="F1" s="797"/>
      <c r="G1" s="797"/>
      <c r="H1" s="32"/>
      <c r="I1" s="1"/>
      <c r="J1" s="1"/>
      <c r="K1" s="1"/>
      <c r="L1" s="1"/>
    </row>
    <row r="2" spans="1:12" ht="13.5" thickBot="1">
      <c r="A2" s="328"/>
      <c r="B2" s="329"/>
      <c r="C2" s="329"/>
      <c r="D2" s="329"/>
      <c r="E2" s="330"/>
      <c r="F2" s="331"/>
      <c r="G2" s="332"/>
      <c r="H2" s="1"/>
      <c r="I2" s="1"/>
      <c r="J2" s="1"/>
      <c r="K2" s="1"/>
      <c r="L2" s="1"/>
    </row>
    <row r="3" spans="1:11" ht="38.25">
      <c r="A3" s="333"/>
      <c r="B3" s="334" t="s">
        <v>359</v>
      </c>
      <c r="C3" s="336" t="s">
        <v>360</v>
      </c>
      <c r="D3" s="380" t="s">
        <v>361</v>
      </c>
      <c r="E3" s="334" t="s">
        <v>360</v>
      </c>
      <c r="F3" s="335" t="s">
        <v>362</v>
      </c>
      <c r="G3" s="384" t="s">
        <v>363</v>
      </c>
      <c r="H3" s="32"/>
      <c r="I3" s="32"/>
      <c r="J3" s="32"/>
      <c r="K3" s="32"/>
    </row>
    <row r="4" spans="1:12" ht="12.75">
      <c r="A4" s="337">
        <v>2000</v>
      </c>
      <c r="B4" s="338">
        <v>672459</v>
      </c>
      <c r="C4" s="383">
        <f aca="true" t="shared" si="0" ref="C4:C9">B4*36.6</f>
        <v>24611999.400000002</v>
      </c>
      <c r="D4" s="381">
        <v>4967967</v>
      </c>
      <c r="E4" s="338">
        <f aca="true" t="shared" si="1" ref="E4:E34">D4*40.7</f>
        <v>202196256.9</v>
      </c>
      <c r="F4" s="339">
        <f aca="true" t="shared" si="2" ref="F4:G9">D4+B4</f>
        <v>5640426</v>
      </c>
      <c r="G4" s="385">
        <f t="shared" si="2"/>
        <v>226808256.3</v>
      </c>
      <c r="H4" s="41"/>
      <c r="I4" s="41"/>
      <c r="J4" s="41"/>
      <c r="K4" s="32"/>
      <c r="L4" s="41"/>
    </row>
    <row r="5" spans="1:12" ht="12.75">
      <c r="A5" s="337">
        <v>2001</v>
      </c>
      <c r="B5" s="338">
        <v>512077</v>
      </c>
      <c r="C5" s="383">
        <f t="shared" si="0"/>
        <v>18742018.2</v>
      </c>
      <c r="D5" s="381">
        <v>6585500</v>
      </c>
      <c r="E5" s="338">
        <f t="shared" si="1"/>
        <v>268029850.00000003</v>
      </c>
      <c r="F5" s="339">
        <f t="shared" si="2"/>
        <v>7097577</v>
      </c>
      <c r="G5" s="385">
        <f t="shared" si="2"/>
        <v>286771868.20000005</v>
      </c>
      <c r="H5" s="41"/>
      <c r="I5" s="18"/>
      <c r="J5" s="41"/>
      <c r="K5" s="32"/>
      <c r="L5" s="41"/>
    </row>
    <row r="6" spans="1:12" ht="12.75">
      <c r="A6" s="337">
        <v>2002</v>
      </c>
      <c r="B6" s="338">
        <v>468942</v>
      </c>
      <c r="C6" s="383">
        <f t="shared" si="0"/>
        <v>17163277.2</v>
      </c>
      <c r="D6" s="381">
        <v>7086437</v>
      </c>
      <c r="E6" s="338">
        <f t="shared" si="1"/>
        <v>288417985.90000004</v>
      </c>
      <c r="F6" s="339">
        <f t="shared" si="2"/>
        <v>7555379</v>
      </c>
      <c r="G6" s="385">
        <f t="shared" si="2"/>
        <v>305581263.1</v>
      </c>
      <c r="H6" s="41"/>
      <c r="I6" s="18"/>
      <c r="J6" s="41"/>
      <c r="K6" s="32"/>
      <c r="L6" s="41"/>
    </row>
    <row r="7" spans="1:12" ht="12.75">
      <c r="A7" s="337">
        <v>2003</v>
      </c>
      <c r="B7" s="338">
        <v>451449</v>
      </c>
      <c r="C7" s="383">
        <f t="shared" si="0"/>
        <v>16523033.4</v>
      </c>
      <c r="D7" s="381">
        <v>2699122</v>
      </c>
      <c r="E7" s="338">
        <f t="shared" si="1"/>
        <v>109854265.4</v>
      </c>
      <c r="F7" s="339">
        <f t="shared" si="2"/>
        <v>3150571</v>
      </c>
      <c r="G7" s="385">
        <f t="shared" si="2"/>
        <v>126377298.80000001</v>
      </c>
      <c r="H7" s="41"/>
      <c r="I7" s="18"/>
      <c r="J7" s="41"/>
      <c r="K7" s="32"/>
      <c r="L7" s="41"/>
    </row>
    <row r="8" spans="1:12" ht="12.75">
      <c r="A8" s="337">
        <v>2004</v>
      </c>
      <c r="B8" s="338">
        <v>565861</v>
      </c>
      <c r="C8" s="383">
        <f t="shared" si="0"/>
        <v>20710512.6</v>
      </c>
      <c r="D8" s="381">
        <v>8558323</v>
      </c>
      <c r="E8" s="338">
        <f t="shared" si="1"/>
        <v>348323746.1</v>
      </c>
      <c r="F8" s="339">
        <f t="shared" si="2"/>
        <v>9124184</v>
      </c>
      <c r="G8" s="385">
        <f t="shared" si="2"/>
        <v>369034258.70000005</v>
      </c>
      <c r="H8" s="41"/>
      <c r="I8" s="18"/>
      <c r="J8" s="41"/>
      <c r="K8" s="32"/>
      <c r="L8" s="41"/>
    </row>
    <row r="9" spans="1:12" ht="12.75">
      <c r="A9" s="337">
        <v>2005</v>
      </c>
      <c r="B9" s="338">
        <v>525287</v>
      </c>
      <c r="C9" s="383">
        <f t="shared" si="0"/>
        <v>19225504.2</v>
      </c>
      <c r="D9" s="381">
        <v>8353025</v>
      </c>
      <c r="E9" s="338">
        <f t="shared" si="1"/>
        <v>339968117.5</v>
      </c>
      <c r="F9" s="339">
        <f t="shared" si="2"/>
        <v>8878312</v>
      </c>
      <c r="G9" s="385">
        <f t="shared" si="2"/>
        <v>359193621.7</v>
      </c>
      <c r="H9" s="388"/>
      <c r="I9" s="389"/>
      <c r="J9" s="388"/>
      <c r="K9" s="32"/>
      <c r="L9" s="41"/>
    </row>
    <row r="10" spans="1:12" ht="27" customHeight="1">
      <c r="A10" s="340">
        <v>2006</v>
      </c>
      <c r="B10" s="341">
        <f aca="true" t="shared" si="3" ref="B10:C34">1.04*B9</f>
        <v>546298.48</v>
      </c>
      <c r="C10" s="341">
        <f t="shared" si="3"/>
        <v>19994524.368</v>
      </c>
      <c r="D10" s="382">
        <f aca="true" t="shared" si="4" ref="D10:D34">1.04*D9</f>
        <v>8687146</v>
      </c>
      <c r="E10" s="390">
        <f t="shared" si="1"/>
        <v>353566842.20000005</v>
      </c>
      <c r="F10" s="342">
        <f aca="true" t="shared" si="5" ref="F10:F34">D10+B10</f>
        <v>9233444.48</v>
      </c>
      <c r="G10" s="386">
        <f aca="true" t="shared" si="6" ref="G10:G34">G9*1.04</f>
        <v>373561366.568</v>
      </c>
      <c r="H10" s="391" t="s">
        <v>364</v>
      </c>
      <c r="I10" s="389"/>
      <c r="J10" s="388"/>
      <c r="K10" s="32"/>
      <c r="L10" s="41"/>
    </row>
    <row r="11" spans="1:12" ht="12.75">
      <c r="A11" s="340">
        <v>2007</v>
      </c>
      <c r="B11" s="341">
        <f t="shared" si="3"/>
        <v>568150.4192</v>
      </c>
      <c r="C11" s="341">
        <f t="shared" si="3"/>
        <v>20794305.342720002</v>
      </c>
      <c r="D11" s="382">
        <f t="shared" si="4"/>
        <v>9034631.84</v>
      </c>
      <c r="E11" s="390">
        <f t="shared" si="1"/>
        <v>367709515.888</v>
      </c>
      <c r="F11" s="342">
        <f t="shared" si="5"/>
        <v>9602782.2592</v>
      </c>
      <c r="G11" s="386">
        <f t="shared" si="6"/>
        <v>388503821.23072004</v>
      </c>
      <c r="H11" s="392"/>
      <c r="I11" s="18"/>
      <c r="J11" s="41"/>
      <c r="K11" s="32"/>
      <c r="L11" s="41"/>
    </row>
    <row r="12" spans="1:12" ht="12.75">
      <c r="A12" s="340">
        <v>2008</v>
      </c>
      <c r="B12" s="341">
        <f t="shared" si="3"/>
        <v>590876.435968</v>
      </c>
      <c r="C12" s="341">
        <f t="shared" si="3"/>
        <v>21626077.5564288</v>
      </c>
      <c r="D12" s="382">
        <f t="shared" si="4"/>
        <v>9396017.1136</v>
      </c>
      <c r="E12" s="390">
        <f t="shared" si="1"/>
        <v>382417896.52352005</v>
      </c>
      <c r="F12" s="342">
        <f t="shared" si="5"/>
        <v>9986893.549568001</v>
      </c>
      <c r="G12" s="386">
        <f t="shared" si="6"/>
        <v>404043974.07994884</v>
      </c>
      <c r="H12" s="393"/>
      <c r="I12" s="41"/>
      <c r="J12" s="41"/>
      <c r="K12" s="32"/>
      <c r="L12" s="41"/>
    </row>
    <row r="13" spans="1:12" ht="12.75">
      <c r="A13" s="340">
        <v>2009</v>
      </c>
      <c r="B13" s="341">
        <f t="shared" si="3"/>
        <v>614511.49340672</v>
      </c>
      <c r="C13" s="341">
        <f t="shared" si="3"/>
        <v>22491120.658685952</v>
      </c>
      <c r="D13" s="382">
        <f t="shared" si="4"/>
        <v>9771857.798144002</v>
      </c>
      <c r="E13" s="390">
        <f t="shared" si="1"/>
        <v>397714612.38446087</v>
      </c>
      <c r="F13" s="342">
        <f t="shared" si="5"/>
        <v>10386369.291550722</v>
      </c>
      <c r="G13" s="386">
        <f t="shared" si="6"/>
        <v>420205733.0431468</v>
      </c>
      <c r="H13" s="393"/>
      <c r="I13" s="41"/>
      <c r="J13" s="41"/>
      <c r="K13" s="32"/>
      <c r="L13" s="41"/>
    </row>
    <row r="14" spans="1:12" ht="12.75">
      <c r="A14" s="340">
        <v>2010</v>
      </c>
      <c r="B14" s="341">
        <f t="shared" si="3"/>
        <v>639091.9531429888</v>
      </c>
      <c r="C14" s="341">
        <f t="shared" si="3"/>
        <v>23390765.485033393</v>
      </c>
      <c r="D14" s="382">
        <f t="shared" si="4"/>
        <v>10162732.110069761</v>
      </c>
      <c r="E14" s="390">
        <f t="shared" si="1"/>
        <v>413623196.8798393</v>
      </c>
      <c r="F14" s="342">
        <f t="shared" si="5"/>
        <v>10801824.06321275</v>
      </c>
      <c r="G14" s="386">
        <f t="shared" si="6"/>
        <v>437013962.3648727</v>
      </c>
      <c r="H14" s="393"/>
      <c r="I14" s="1"/>
      <c r="J14" s="1"/>
      <c r="K14" s="32"/>
      <c r="L14" s="1"/>
    </row>
    <row r="15" spans="1:12" ht="12.75">
      <c r="A15" s="340">
        <v>2011</v>
      </c>
      <c r="B15" s="341">
        <f t="shared" si="3"/>
        <v>664655.6312687084</v>
      </c>
      <c r="C15" s="341">
        <f t="shared" si="3"/>
        <v>24326396.10443473</v>
      </c>
      <c r="D15" s="382">
        <f t="shared" si="4"/>
        <v>10569241.394472552</v>
      </c>
      <c r="E15" s="390">
        <f t="shared" si="1"/>
        <v>430168124.7550329</v>
      </c>
      <c r="F15" s="342">
        <f t="shared" si="5"/>
        <v>11233897.02574126</v>
      </c>
      <c r="G15" s="386">
        <f t="shared" si="6"/>
        <v>454494520.8594676</v>
      </c>
      <c r="H15" s="394"/>
      <c r="I15" s="1"/>
      <c r="J15" s="1"/>
      <c r="K15" s="32"/>
      <c r="L15" s="1"/>
    </row>
    <row r="16" spans="1:12" ht="12.75">
      <c r="A16" s="340">
        <v>2012</v>
      </c>
      <c r="B16" s="341">
        <f t="shared" si="3"/>
        <v>691241.8565194567</v>
      </c>
      <c r="C16" s="341">
        <f t="shared" si="3"/>
        <v>25299451.94861212</v>
      </c>
      <c r="D16" s="382">
        <f t="shared" si="4"/>
        <v>10992011.050251454</v>
      </c>
      <c r="E16" s="390">
        <f t="shared" si="1"/>
        <v>447374849.7452342</v>
      </c>
      <c r="F16" s="342">
        <f t="shared" si="5"/>
        <v>11683252.906770911</v>
      </c>
      <c r="G16" s="386">
        <f t="shared" si="6"/>
        <v>472674301.69384634</v>
      </c>
      <c r="H16" s="394"/>
      <c r="I16" s="1"/>
      <c r="J16" s="1"/>
      <c r="K16" s="32"/>
      <c r="L16" s="1"/>
    </row>
    <row r="17" spans="1:12" ht="12.75">
      <c r="A17" s="340">
        <v>2013</v>
      </c>
      <c r="B17" s="341">
        <f t="shared" si="3"/>
        <v>718891.530780235</v>
      </c>
      <c r="C17" s="341">
        <f t="shared" si="3"/>
        <v>26311430.026556607</v>
      </c>
      <c r="D17" s="382">
        <f t="shared" si="4"/>
        <v>11431691.492261512</v>
      </c>
      <c r="E17" s="390">
        <f t="shared" si="1"/>
        <v>465269843.7350436</v>
      </c>
      <c r="F17" s="342">
        <f t="shared" si="5"/>
        <v>12150583.023041748</v>
      </c>
      <c r="G17" s="386">
        <f t="shared" si="6"/>
        <v>491581273.7616002</v>
      </c>
      <c r="H17" s="394"/>
      <c r="I17" s="1"/>
      <c r="J17" s="1"/>
      <c r="K17" s="32"/>
      <c r="L17" s="1"/>
    </row>
    <row r="18" spans="1:12" ht="12.75">
      <c r="A18" s="340">
        <v>2014</v>
      </c>
      <c r="B18" s="341">
        <f t="shared" si="3"/>
        <v>747647.1920114444</v>
      </c>
      <c r="C18" s="341">
        <f t="shared" si="3"/>
        <v>27363887.227618873</v>
      </c>
      <c r="D18" s="382">
        <f t="shared" si="4"/>
        <v>11888959.151951972</v>
      </c>
      <c r="E18" s="390">
        <f t="shared" si="1"/>
        <v>483880637.48444533</v>
      </c>
      <c r="F18" s="342">
        <f t="shared" si="5"/>
        <v>12636606.343963416</v>
      </c>
      <c r="G18" s="386">
        <f t="shared" si="6"/>
        <v>511244524.7120642</v>
      </c>
      <c r="H18" s="394"/>
      <c r="I18" s="1"/>
      <c r="J18" s="1"/>
      <c r="K18" s="1"/>
      <c r="L18" s="1"/>
    </row>
    <row r="19" spans="1:12" ht="12.75">
      <c r="A19" s="340">
        <v>2015</v>
      </c>
      <c r="B19" s="341">
        <f t="shared" si="3"/>
        <v>777553.0796919022</v>
      </c>
      <c r="C19" s="341">
        <f t="shared" si="3"/>
        <v>28458442.71672363</v>
      </c>
      <c r="D19" s="382">
        <f t="shared" si="4"/>
        <v>12364517.518030051</v>
      </c>
      <c r="E19" s="390">
        <f t="shared" si="1"/>
        <v>503235862.9838231</v>
      </c>
      <c r="F19" s="342">
        <f t="shared" si="5"/>
        <v>13142070.597721953</v>
      </c>
      <c r="G19" s="386">
        <f t="shared" si="6"/>
        <v>531694305.7005468</v>
      </c>
      <c r="H19" s="394"/>
      <c r="I19" s="1"/>
      <c r="J19" s="1"/>
      <c r="K19" s="1"/>
      <c r="L19" s="1"/>
    </row>
    <row r="20" spans="1:12" ht="12.75">
      <c r="A20" s="340">
        <v>2016</v>
      </c>
      <c r="B20" s="341">
        <f t="shared" si="3"/>
        <v>808655.2028795782</v>
      </c>
      <c r="C20" s="341">
        <f t="shared" si="3"/>
        <v>29596780.425392576</v>
      </c>
      <c r="D20" s="382">
        <f t="shared" si="4"/>
        <v>12859098.218751254</v>
      </c>
      <c r="E20" s="390">
        <f t="shared" si="1"/>
        <v>523365297.50317603</v>
      </c>
      <c r="F20" s="342">
        <f t="shared" si="5"/>
        <v>13667753.421630831</v>
      </c>
      <c r="G20" s="386">
        <f t="shared" si="6"/>
        <v>552962077.9285687</v>
      </c>
      <c r="H20" s="394"/>
      <c r="I20" s="1"/>
      <c r="J20" s="1"/>
      <c r="K20" s="1"/>
      <c r="L20" s="1"/>
    </row>
    <row r="21" spans="1:12" ht="12.75">
      <c r="A21" s="340">
        <v>2017</v>
      </c>
      <c r="B21" s="341">
        <f t="shared" si="3"/>
        <v>841001.4109947614</v>
      </c>
      <c r="C21" s="341">
        <f t="shared" si="3"/>
        <v>30780651.642408278</v>
      </c>
      <c r="D21" s="382">
        <f t="shared" si="4"/>
        <v>13373462.147501305</v>
      </c>
      <c r="E21" s="390">
        <f t="shared" si="1"/>
        <v>544299909.4033031</v>
      </c>
      <c r="F21" s="342">
        <f t="shared" si="5"/>
        <v>14214463.558496065</v>
      </c>
      <c r="G21" s="386">
        <f t="shared" si="6"/>
        <v>575080561.0457115</v>
      </c>
      <c r="H21" s="394"/>
      <c r="I21" s="1"/>
      <c r="J21" s="1"/>
      <c r="K21" s="1"/>
      <c r="L21" s="1"/>
    </row>
    <row r="22" spans="1:12" ht="12.75">
      <c r="A22" s="340">
        <v>2018</v>
      </c>
      <c r="B22" s="341">
        <f t="shared" si="3"/>
        <v>874641.4674345519</v>
      </c>
      <c r="C22" s="341">
        <f t="shared" si="3"/>
        <v>32011877.70810461</v>
      </c>
      <c r="D22" s="382">
        <f t="shared" si="4"/>
        <v>13908400.633401357</v>
      </c>
      <c r="E22" s="390">
        <f t="shared" si="1"/>
        <v>566071905.7794353</v>
      </c>
      <c r="F22" s="342">
        <f t="shared" si="5"/>
        <v>14783042.100835908</v>
      </c>
      <c r="G22" s="386">
        <f t="shared" si="6"/>
        <v>598083783.48754</v>
      </c>
      <c r="H22" s="394"/>
      <c r="I22" s="1"/>
      <c r="J22" s="1"/>
      <c r="K22" s="1"/>
      <c r="L22" s="1"/>
    </row>
    <row r="23" spans="1:12" ht="12.75">
      <c r="A23" s="340">
        <v>2019</v>
      </c>
      <c r="B23" s="341">
        <f t="shared" si="3"/>
        <v>909627.126131934</v>
      </c>
      <c r="C23" s="341">
        <f t="shared" si="3"/>
        <v>33292352.816428795</v>
      </c>
      <c r="D23" s="382">
        <f t="shared" si="4"/>
        <v>14464736.658737412</v>
      </c>
      <c r="E23" s="390">
        <f t="shared" si="1"/>
        <v>588714782.0106127</v>
      </c>
      <c r="F23" s="342">
        <f t="shared" si="5"/>
        <v>15374363.784869345</v>
      </c>
      <c r="G23" s="386">
        <f t="shared" si="6"/>
        <v>622007134.8270416</v>
      </c>
      <c r="H23" s="394"/>
      <c r="I23" s="1"/>
      <c r="J23" s="1"/>
      <c r="K23" s="1"/>
      <c r="L23" s="1"/>
    </row>
    <row r="24" spans="1:12" ht="12.75">
      <c r="A24" s="340">
        <v>2020</v>
      </c>
      <c r="B24" s="341">
        <f t="shared" si="3"/>
        <v>946012.2111772114</v>
      </c>
      <c r="C24" s="341">
        <f t="shared" si="3"/>
        <v>34624046.92908595</v>
      </c>
      <c r="D24" s="382">
        <f t="shared" si="4"/>
        <v>15043326.12508691</v>
      </c>
      <c r="E24" s="390">
        <f t="shared" si="1"/>
        <v>612263373.2910372</v>
      </c>
      <c r="F24" s="342">
        <f t="shared" si="5"/>
        <v>15989338.33626412</v>
      </c>
      <c r="G24" s="386">
        <f t="shared" si="6"/>
        <v>646887420.2201233</v>
      </c>
      <c r="H24" s="493"/>
      <c r="I24" s="1"/>
      <c r="J24" s="1"/>
      <c r="K24" s="1"/>
      <c r="L24" s="1"/>
    </row>
    <row r="25" spans="1:12" ht="12.75">
      <c r="A25" s="340">
        <v>2021</v>
      </c>
      <c r="B25" s="341">
        <f t="shared" si="3"/>
        <v>983852.6996242999</v>
      </c>
      <c r="C25" s="341">
        <f t="shared" si="3"/>
        <v>36009008.80624939</v>
      </c>
      <c r="D25" s="382">
        <f t="shared" si="4"/>
        <v>15645059.170090387</v>
      </c>
      <c r="E25" s="390">
        <f t="shared" si="1"/>
        <v>636753908.2226788</v>
      </c>
      <c r="F25" s="342">
        <f t="shared" si="5"/>
        <v>16628911.869714687</v>
      </c>
      <c r="G25" s="386">
        <f t="shared" si="6"/>
        <v>672762917.0289283</v>
      </c>
      <c r="H25" s="394"/>
      <c r="I25" s="1"/>
      <c r="J25" s="1"/>
      <c r="K25" s="1"/>
      <c r="L25" s="1"/>
    </row>
    <row r="26" spans="1:12" ht="12.75">
      <c r="A26" s="340">
        <v>2022</v>
      </c>
      <c r="B26" s="341">
        <f t="shared" si="3"/>
        <v>1023206.807609272</v>
      </c>
      <c r="C26" s="341">
        <f t="shared" si="3"/>
        <v>37449369.15849937</v>
      </c>
      <c r="D26" s="382">
        <f t="shared" si="4"/>
        <v>16270861.536894003</v>
      </c>
      <c r="E26" s="390">
        <f t="shared" si="1"/>
        <v>662224064.5515859</v>
      </c>
      <c r="F26" s="342">
        <f t="shared" si="5"/>
        <v>17294068.344503276</v>
      </c>
      <c r="G26" s="386">
        <f t="shared" si="6"/>
        <v>699673433.7100854</v>
      </c>
      <c r="H26" s="394"/>
      <c r="I26" s="1"/>
      <c r="J26" s="1"/>
      <c r="K26" s="1"/>
      <c r="L26" s="1"/>
    </row>
    <row r="27" spans="1:12" ht="12.75">
      <c r="A27" s="340">
        <v>2023</v>
      </c>
      <c r="B27" s="341">
        <f t="shared" si="3"/>
        <v>1064135.079913643</v>
      </c>
      <c r="C27" s="341">
        <f t="shared" si="3"/>
        <v>38947343.92483934</v>
      </c>
      <c r="D27" s="382">
        <f t="shared" si="4"/>
        <v>16921695.998369765</v>
      </c>
      <c r="E27" s="390">
        <f t="shared" si="1"/>
        <v>688713027.1336495</v>
      </c>
      <c r="F27" s="342">
        <f t="shared" si="5"/>
        <v>17985831.078283407</v>
      </c>
      <c r="G27" s="386">
        <f t="shared" si="6"/>
        <v>727660371.0584888</v>
      </c>
      <c r="H27" s="394"/>
      <c r="I27" s="1"/>
      <c r="J27" s="1"/>
      <c r="K27" s="1"/>
      <c r="L27" s="1"/>
    </row>
    <row r="28" spans="1:12" ht="12.75">
      <c r="A28" s="340">
        <v>2024</v>
      </c>
      <c r="B28" s="341">
        <f t="shared" si="3"/>
        <v>1106700.4831101887</v>
      </c>
      <c r="C28" s="341">
        <f t="shared" si="3"/>
        <v>40505237.68183292</v>
      </c>
      <c r="D28" s="382">
        <f t="shared" si="4"/>
        <v>17598563.838304557</v>
      </c>
      <c r="E28" s="390">
        <f t="shared" si="1"/>
        <v>716261548.2189956</v>
      </c>
      <c r="F28" s="342">
        <f t="shared" si="5"/>
        <v>18705264.321414746</v>
      </c>
      <c r="G28" s="386">
        <f t="shared" si="6"/>
        <v>756766785.9008285</v>
      </c>
      <c r="H28" s="394"/>
      <c r="I28" s="1"/>
      <c r="J28" s="1"/>
      <c r="K28" s="1"/>
      <c r="L28" s="1"/>
    </row>
    <row r="29" spans="1:12" ht="12.75">
      <c r="A29" s="340">
        <v>2025</v>
      </c>
      <c r="B29" s="341">
        <f t="shared" si="3"/>
        <v>1150968.5024345964</v>
      </c>
      <c r="C29" s="341">
        <f t="shared" si="3"/>
        <v>42125447.18910623</v>
      </c>
      <c r="D29" s="382">
        <f t="shared" si="4"/>
        <v>18302506.39183674</v>
      </c>
      <c r="E29" s="390">
        <f t="shared" si="1"/>
        <v>744912010.1477554</v>
      </c>
      <c r="F29" s="342">
        <f t="shared" si="5"/>
        <v>19453474.894271336</v>
      </c>
      <c r="G29" s="386">
        <f t="shared" si="6"/>
        <v>787037457.3368616</v>
      </c>
      <c r="H29" s="394"/>
      <c r="I29" s="1"/>
      <c r="J29" s="1"/>
      <c r="K29" s="1"/>
      <c r="L29" s="1"/>
    </row>
    <row r="30" spans="1:12" ht="12.75">
      <c r="A30" s="340">
        <v>2026</v>
      </c>
      <c r="B30" s="341">
        <f t="shared" si="3"/>
        <v>1197007.2425319804</v>
      </c>
      <c r="C30" s="341">
        <f t="shared" si="3"/>
        <v>43810465.07667048</v>
      </c>
      <c r="D30" s="382">
        <f t="shared" si="4"/>
        <v>19034606.647510212</v>
      </c>
      <c r="E30" s="390">
        <f t="shared" si="1"/>
        <v>774708490.5536656</v>
      </c>
      <c r="F30" s="342">
        <f t="shared" si="5"/>
        <v>20231613.890042193</v>
      </c>
      <c r="G30" s="386">
        <f t="shared" si="6"/>
        <v>818518955.630336</v>
      </c>
      <c r="H30" s="394"/>
      <c r="I30" s="1"/>
      <c r="J30" s="1"/>
      <c r="K30" s="1"/>
      <c r="L30" s="1"/>
    </row>
    <row r="31" spans="1:12" ht="12.75">
      <c r="A31" s="340">
        <v>2027</v>
      </c>
      <c r="B31" s="341">
        <f t="shared" si="3"/>
        <v>1244887.5322332596</v>
      </c>
      <c r="C31" s="341">
        <f t="shared" si="3"/>
        <v>45562883.67973731</v>
      </c>
      <c r="D31" s="382">
        <f t="shared" si="4"/>
        <v>19795990.913410623</v>
      </c>
      <c r="E31" s="390">
        <f t="shared" si="1"/>
        <v>805696830.1758124</v>
      </c>
      <c r="F31" s="342">
        <f t="shared" si="5"/>
        <v>21040878.445643883</v>
      </c>
      <c r="G31" s="386">
        <f t="shared" si="6"/>
        <v>851259713.8555496</v>
      </c>
      <c r="H31" s="394"/>
      <c r="I31" s="1"/>
      <c r="J31" s="1"/>
      <c r="K31" s="1"/>
      <c r="L31" s="1"/>
    </row>
    <row r="32" spans="1:12" ht="12.75">
      <c r="A32" s="340">
        <v>2028</v>
      </c>
      <c r="B32" s="341">
        <f t="shared" si="3"/>
        <v>1294683.03352259</v>
      </c>
      <c r="C32" s="341">
        <f t="shared" si="3"/>
        <v>47385399.0269268</v>
      </c>
      <c r="D32" s="382">
        <f t="shared" si="4"/>
        <v>20587830.54994705</v>
      </c>
      <c r="E32" s="390">
        <f t="shared" si="1"/>
        <v>837924703.3828449</v>
      </c>
      <c r="F32" s="342">
        <f t="shared" si="5"/>
        <v>21882513.58346964</v>
      </c>
      <c r="G32" s="386">
        <f t="shared" si="6"/>
        <v>885310102.4097716</v>
      </c>
      <c r="H32" s="394"/>
      <c r="I32" s="1"/>
      <c r="J32" s="1"/>
      <c r="K32" s="1"/>
      <c r="L32" s="1"/>
    </row>
    <row r="33" spans="1:12" ht="12.75">
      <c r="A33" s="340">
        <v>2029</v>
      </c>
      <c r="B33" s="341">
        <f t="shared" si="3"/>
        <v>1346470.3548634937</v>
      </c>
      <c r="C33" s="341">
        <f t="shared" si="3"/>
        <v>49280814.98800387</v>
      </c>
      <c r="D33" s="382">
        <f t="shared" si="4"/>
        <v>21411343.771944933</v>
      </c>
      <c r="E33" s="390">
        <f t="shared" si="1"/>
        <v>871441691.5181588</v>
      </c>
      <c r="F33" s="342">
        <f t="shared" si="5"/>
        <v>22757814.126808427</v>
      </c>
      <c r="G33" s="386">
        <f t="shared" si="6"/>
        <v>920722506.5061624</v>
      </c>
      <c r="H33" s="394"/>
      <c r="I33" s="1"/>
      <c r="J33" s="1"/>
      <c r="K33" s="1"/>
      <c r="L33" s="1"/>
    </row>
    <row r="34" spans="1:12" ht="13.5" thickBot="1">
      <c r="A34" s="343">
        <v>2030</v>
      </c>
      <c r="B34" s="341">
        <f t="shared" si="3"/>
        <v>1400329.1690580335</v>
      </c>
      <c r="C34" s="341">
        <f t="shared" si="3"/>
        <v>51252047.58752403</v>
      </c>
      <c r="D34" s="382">
        <f t="shared" si="4"/>
        <v>22267797.52282273</v>
      </c>
      <c r="E34" s="390">
        <f t="shared" si="1"/>
        <v>906299359.1788852</v>
      </c>
      <c r="F34" s="342">
        <f t="shared" si="5"/>
        <v>23668126.691880763</v>
      </c>
      <c r="G34" s="387">
        <f t="shared" si="6"/>
        <v>957551406.7664089</v>
      </c>
      <c r="H34" s="394"/>
      <c r="I34" s="1"/>
      <c r="J34" s="1"/>
      <c r="K34" s="1"/>
      <c r="L34" s="1"/>
    </row>
    <row r="35" spans="1:12" ht="12.75">
      <c r="A35" s="1"/>
      <c r="B35" s="1"/>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344"/>
      <c r="C37" s="1"/>
      <c r="D37" s="1"/>
      <c r="E37" s="1"/>
      <c r="F37" s="1"/>
      <c r="G37" s="1"/>
      <c r="H37" s="1"/>
      <c r="I37" s="1"/>
      <c r="J37" s="1"/>
      <c r="K37" s="1"/>
      <c r="L37" s="1"/>
    </row>
    <row r="38" spans="1:12" ht="12.75">
      <c r="A38" s="1"/>
      <c r="B38" s="1"/>
      <c r="C38" s="1"/>
      <c r="D38" s="1"/>
      <c r="E38" s="1"/>
      <c r="F38" s="1"/>
      <c r="G38" s="1"/>
      <c r="H38" s="1"/>
      <c r="I38" s="1"/>
      <c r="J38" s="1"/>
      <c r="K38" s="1"/>
      <c r="L38" s="1"/>
    </row>
  </sheetData>
  <mergeCells count="1">
    <mergeCell ref="A1:G1"/>
  </mergeCells>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Lawson</cp:lastModifiedBy>
  <dcterms:created xsi:type="dcterms:W3CDTF">2007-08-15T20:11:02Z</dcterms:created>
  <dcterms:modified xsi:type="dcterms:W3CDTF">2007-12-04T23:47:35Z</dcterms:modified>
  <cp:category/>
  <cp:version/>
  <cp:contentType/>
  <cp:contentStatus/>
</cp:coreProperties>
</file>